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285" windowWidth="19320" windowHeight="12120" activeTab="0"/>
  </bookViews>
  <sheets>
    <sheet name="HOME example" sheetId="1" r:id="rId1"/>
    <sheet name="NSP example" sheetId="2" r:id="rId2"/>
    <sheet name="Sheet6" sheetId="3" r:id="rId3"/>
    <sheet name="Sheet7" sheetId="4" r:id="rId4"/>
    <sheet name="Sheet8" sheetId="5" r:id="rId5"/>
    <sheet name="Sheet9" sheetId="6" r:id="rId6"/>
    <sheet name="Sheet10" sheetId="7" r:id="rId7"/>
    <sheet name="Sheet11" sheetId="8" r:id="rId8"/>
    <sheet name="Sheet12" sheetId="9" r:id="rId9"/>
    <sheet name="Sheet13" sheetId="10" r:id="rId10"/>
    <sheet name="Sheet14" sheetId="11" r:id="rId11"/>
    <sheet name="Sheet15" sheetId="12" r:id="rId12"/>
    <sheet name="Sheet16" sheetId="13" r:id="rId13"/>
  </sheets>
  <definedNames/>
  <calcPr fullCalcOnLoad="1"/>
</workbook>
</file>

<file path=xl/sharedStrings.xml><?xml version="1.0" encoding="utf-8"?>
<sst xmlns="http://schemas.openxmlformats.org/spreadsheetml/2006/main" count="274" uniqueCount="118">
  <si>
    <t>Acquisition/Construction</t>
  </si>
  <si>
    <t>Int rate:</t>
  </si>
  <si>
    <t>EFFECTIVE GROSS INCOME</t>
  </si>
  <si>
    <t>EXPENSES</t>
  </si>
  <si>
    <t>Nonprofit equity</t>
  </si>
  <si>
    <t>Per U mo.</t>
  </si>
  <si>
    <t>Total:</t>
  </si>
  <si>
    <t>Residential</t>
  </si>
  <si>
    <t>Expenses</t>
  </si>
  <si>
    <t>Interim (Lease Period)</t>
  </si>
  <si>
    <t>Escrow for closing and downpayment</t>
  </si>
  <si>
    <t>Total expenses:</t>
  </si>
  <si>
    <t>NET OPERATING INCOME</t>
  </si>
  <si>
    <t>DEBT SERVICE</t>
  </si>
  <si>
    <t>Source</t>
  </si>
  <si>
    <t>Amount</t>
  </si>
  <si>
    <t>Rate/term</t>
  </si>
  <si>
    <t>USES OF FUNDS</t>
  </si>
  <si>
    <t>Lender</t>
  </si>
  <si>
    <t>Total debt service:</t>
  </si>
  <si>
    <t>Total Acquisition costs:</t>
  </si>
  <si>
    <t>NET CASH FLOW</t>
  </si>
  <si>
    <t>PURCHASE ANALYSIS FOR INDIVIDUAL BUYER</t>
  </si>
  <si>
    <t>Total Construction costs:</t>
  </si>
  <si>
    <t>Type/Source</t>
  </si>
  <si>
    <t>Rate/Term</t>
  </si>
  <si>
    <t>Total Soft costs:</t>
  </si>
  <si>
    <t>Purchaser's Cash</t>
  </si>
  <si>
    <t>Total Development costs:</t>
  </si>
  <si>
    <t>First Mortgage</t>
  </si>
  <si>
    <t xml:space="preserve">Second </t>
  </si>
  <si>
    <t>TOTAL</t>
  </si>
  <si>
    <t>USES OF FUNDS AT SALE</t>
  </si>
  <si>
    <t>Sale Price</t>
  </si>
  <si>
    <t>AFFORDABILITY TABLE</t>
  </si>
  <si>
    <t>Closing costs</t>
  </si>
  <si>
    <t>Prepaids</t>
  </si>
  <si>
    <t>Affordable annual income at 30% of PITI</t>
  </si>
  <si>
    <t>SUMMARY OF INDIVIDUAL HOUSING COSTS</t>
  </si>
  <si>
    <t>Percent of median income @30% (PITI)</t>
  </si>
  <si>
    <t>ANNUAL</t>
  </si>
  <si>
    <t>Property taxes</t>
  </si>
  <si>
    <t>Median income:</t>
  </si>
  <si>
    <t>Insurance</t>
  </si>
  <si>
    <t xml:space="preserve"> 80% of median:</t>
  </si>
  <si>
    <t>Utilities</t>
  </si>
  <si>
    <t>Subtotal:</t>
  </si>
  <si>
    <t>Debt Service</t>
  </si>
  <si>
    <t>First mortgage</t>
  </si>
  <si>
    <t>PITI</t>
  </si>
  <si>
    <t>Bdrm size</t>
  </si>
  <si>
    <t>HOME</t>
  </si>
  <si>
    <t>Non profit equity</t>
  </si>
  <si>
    <t>Gross rents:</t>
  </si>
  <si>
    <t>Less Vacancy ( N/A)</t>
  </si>
  <si>
    <t>Other income</t>
  </si>
  <si>
    <t>Type</t>
  </si>
  <si>
    <t>Predevelopment</t>
  </si>
  <si>
    <t>Inspections</t>
  </si>
  <si>
    <t>Total Predevelopment costs:</t>
  </si>
  <si>
    <t>Acquisition</t>
  </si>
  <si>
    <t>Property</t>
  </si>
  <si>
    <t>Site preparation (demolition)</t>
  </si>
  <si>
    <t>Closing</t>
  </si>
  <si>
    <t>Construction</t>
  </si>
  <si>
    <t>Bidding package</t>
  </si>
  <si>
    <t>Construction bid</t>
  </si>
  <si>
    <t>Construction contingency</t>
  </si>
  <si>
    <t>%:</t>
  </si>
  <si>
    <t>Non bid items</t>
  </si>
  <si>
    <t>Soft Costs</t>
  </si>
  <si>
    <t>Fees:</t>
  </si>
  <si>
    <t>Construction management</t>
  </si>
  <si>
    <t>Developer fee</t>
  </si>
  <si>
    <t>Architect/Engineer</t>
  </si>
  <si>
    <t>Environmental</t>
  </si>
  <si>
    <t>Marketing</t>
  </si>
  <si>
    <t>Sub total:</t>
  </si>
  <si>
    <t>Holding costs:</t>
  </si>
  <si>
    <t>Monthly costs</t>
  </si>
  <si>
    <t>No. of months</t>
  </si>
  <si>
    <t>Real estate taxes</t>
  </si>
  <si>
    <t>Builders risk insurance</t>
  </si>
  <si>
    <t>Liability insurance</t>
  </si>
  <si>
    <t>Security</t>
  </si>
  <si>
    <t>Construction loan interest</t>
  </si>
  <si>
    <t xml:space="preserve">Third </t>
  </si>
  <si>
    <t>Closing costs:</t>
  </si>
  <si>
    <t>Title insurance</t>
  </si>
  <si>
    <t>Survey</t>
  </si>
  <si>
    <t>Appraisal</t>
  </si>
  <si>
    <t>Legal</t>
  </si>
  <si>
    <t>Transfer taxes</t>
  </si>
  <si>
    <t>Per bld</t>
  </si>
  <si>
    <t>All blg</t>
  </si>
  <si>
    <t>Utilities (w/s, common area elect)</t>
  </si>
  <si>
    <t xml:space="preserve">Property taxes </t>
  </si>
  <si>
    <t>Administrative &amp; maintenance costs</t>
  </si>
  <si>
    <t>Replacement &amp; operating reserves</t>
  </si>
  <si>
    <t>Operating reserve for lease period</t>
  </si>
  <si>
    <t xml:space="preserve"> LEASE-PURCHASE DEVELOPMENT PRO FORMA</t>
  </si>
  <si>
    <t>LEASE PURCHASE OPERATING PRO FORMA</t>
  </si>
  <si>
    <t>INCOME</t>
  </si>
  <si>
    <t>LEASE</t>
  </si>
  <si>
    <t>Lease Period:</t>
  </si>
  <si>
    <t>MONTHLY</t>
  </si>
  <si>
    <t>PERIOD</t>
  </si>
  <si>
    <t>SOURCES OF FUNDS</t>
  </si>
  <si>
    <t xml:space="preserve"> (in months)</t>
  </si>
  <si>
    <t>Gross Rents</t>
  </si>
  <si>
    <t>Projections</t>
  </si>
  <si>
    <t># of units</t>
  </si>
  <si>
    <t>Lease payment</t>
  </si>
  <si>
    <t>Per unit</t>
  </si>
  <si>
    <t>All units</t>
  </si>
  <si>
    <t>due at sale</t>
  </si>
  <si>
    <t>NSP</t>
  </si>
  <si>
    <t>No. of units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</si>
</sst>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&quot;$&quot;* #,##0_);_(&quot;$&quot;* \(#,##0\);_(&quot;$&quot;* &quot;-&quot;??_);_(@_)"/>
    <numFmt numFmtId="167" formatCode="_(* #,##0.000_);_(* \(#,##0.000\);_(* &quot;-&quot;???_);_(@_)"/>
    <numFmt numFmtId="168" formatCode="_(* #,##0.0_);_(* \(#,##0.0\);_(* &quot;-&quot;?_);_(@_)"/>
    <numFmt numFmtId="169" formatCode="_(* #,##0.0_);_(* \(#,##0.0\);_(* &quot;-&quot;??_);_(@_)"/>
    <numFmt numFmtId="170" formatCode="_(&quot;$&quot;* #,##0.0_);_(&quot;$&quot;* \(#,##0.0\);_(&quot;$&quot;* &quot;-&quot;??_);_(@_)"/>
  </numFmts>
  <fonts count="4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1"/>
      <name val="Arial"/>
      <family val="0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u val="singleAccounting"/>
      <sz val="10"/>
      <name val="Arial"/>
      <family val="2"/>
    </font>
    <font>
      <u val="single"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164" fontId="0" fillId="0" borderId="0" xfId="42" applyNumberFormat="1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Continuous"/>
    </xf>
    <xf numFmtId="164" fontId="1" fillId="0" borderId="0" xfId="42" applyNumberFormat="1" applyFont="1" applyAlignment="1">
      <alignment horizontal="centerContinuous"/>
    </xf>
    <xf numFmtId="0" fontId="0" fillId="0" borderId="0" xfId="0" applyAlignment="1">
      <alignment horizontal="right"/>
    </xf>
    <xf numFmtId="164" fontId="0" fillId="0" borderId="0" xfId="42" applyNumberFormat="1" applyFont="1" applyAlignment="1">
      <alignment horizontal="right"/>
    </xf>
    <xf numFmtId="164" fontId="1" fillId="0" borderId="0" xfId="42" applyNumberFormat="1" applyFont="1" applyAlignment="1">
      <alignment/>
    </xf>
    <xf numFmtId="0" fontId="6" fillId="0" borderId="0" xfId="0" applyFont="1" applyAlignment="1">
      <alignment/>
    </xf>
    <xf numFmtId="164" fontId="7" fillId="0" borderId="0" xfId="42" applyNumberFormat="1" applyFont="1" applyAlignment="1">
      <alignment horizontal="center"/>
    </xf>
    <xf numFmtId="164" fontId="5" fillId="0" borderId="0" xfId="42" applyNumberFormat="1" applyFont="1" applyAlignment="1">
      <alignment horizontal="center"/>
    </xf>
    <xf numFmtId="164" fontId="8" fillId="0" borderId="0" xfId="42" applyNumberFormat="1" applyFont="1" applyAlignment="1">
      <alignment horizontal="center"/>
    </xf>
    <xf numFmtId="0" fontId="5" fillId="0" borderId="0" xfId="0" applyFont="1" applyAlignment="1">
      <alignment/>
    </xf>
    <xf numFmtId="0" fontId="0" fillId="0" borderId="0" xfId="0" applyAlignment="1">
      <alignment horizontal="centerContinuous"/>
    </xf>
    <xf numFmtId="164" fontId="0" fillId="0" borderId="0" xfId="42" applyNumberFormat="1" applyFont="1" applyAlignment="1">
      <alignment horizontal="centerContinuous"/>
    </xf>
    <xf numFmtId="0" fontId="0" fillId="0" borderId="0" xfId="0" applyAlignment="1" quotePrefix="1">
      <alignment/>
    </xf>
    <xf numFmtId="0" fontId="5" fillId="0" borderId="0" xfId="0" applyFont="1" applyAlignment="1">
      <alignment horizontal="center"/>
    </xf>
    <xf numFmtId="164" fontId="8" fillId="0" borderId="10" xfId="42" applyNumberFormat="1" applyFont="1" applyBorder="1" applyAlignment="1">
      <alignment horizontal="center"/>
    </xf>
    <xf numFmtId="164" fontId="0" fillId="0" borderId="10" xfId="42" applyNumberFormat="1" applyFont="1" applyBorder="1" applyAlignment="1">
      <alignment/>
    </xf>
    <xf numFmtId="0" fontId="0" fillId="0" borderId="0" xfId="0" applyFont="1" applyAlignment="1">
      <alignment horizontal="left"/>
    </xf>
    <xf numFmtId="9" fontId="0" fillId="0" borderId="0" xfId="59" applyFont="1" applyAlignment="1">
      <alignment/>
    </xf>
    <xf numFmtId="164" fontId="7" fillId="0" borderId="0" xfId="42" applyNumberFormat="1" applyFont="1" applyAlignment="1">
      <alignment/>
    </xf>
    <xf numFmtId="164" fontId="9" fillId="0" borderId="0" xfId="42" applyNumberFormat="1" applyFont="1" applyAlignment="1">
      <alignment horizontal="center"/>
    </xf>
    <xf numFmtId="165" fontId="0" fillId="0" borderId="0" xfId="59" applyNumberFormat="1" applyFont="1" applyAlignment="1">
      <alignment/>
    </xf>
    <xf numFmtId="164" fontId="0" fillId="0" borderId="0" xfId="0" applyNumberFormat="1" applyAlignment="1">
      <alignment/>
    </xf>
    <xf numFmtId="166" fontId="0" fillId="0" borderId="0" xfId="44" applyNumberFormat="1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164" fontId="1" fillId="0" borderId="10" xfId="42" applyNumberFormat="1" applyFont="1" applyBorder="1" applyAlignment="1">
      <alignment/>
    </xf>
    <xf numFmtId="164" fontId="1" fillId="0" borderId="0" xfId="42" applyNumberFormat="1" applyFont="1" applyAlignment="1">
      <alignment horizontal="right"/>
    </xf>
    <xf numFmtId="0" fontId="1" fillId="0" borderId="11" xfId="0" applyFont="1" applyBorder="1" applyAlignment="1">
      <alignment horizontal="centerContinuous"/>
    </xf>
    <xf numFmtId="164" fontId="1" fillId="0" borderId="11" xfId="42" applyNumberFormat="1" applyFont="1" applyBorder="1" applyAlignment="1">
      <alignment horizontal="centerContinuous"/>
    </xf>
    <xf numFmtId="164" fontId="0" fillId="0" borderId="11" xfId="42" applyNumberFormat="1" applyFont="1" applyBorder="1" applyAlignment="1">
      <alignment/>
    </xf>
    <xf numFmtId="0" fontId="5" fillId="0" borderId="0" xfId="0" applyFont="1" applyAlignment="1">
      <alignment horizontal="centerContinuous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0" fillId="0" borderId="12" xfId="0" applyBorder="1" applyAlignment="1">
      <alignment/>
    </xf>
    <xf numFmtId="0" fontId="0" fillId="0" borderId="12" xfId="0" applyBorder="1" applyAlignment="1">
      <alignment horizontal="right"/>
    </xf>
    <xf numFmtId="164" fontId="0" fillId="0" borderId="12" xfId="42" applyNumberFormat="1" applyFont="1" applyBorder="1" applyAlignment="1">
      <alignment/>
    </xf>
    <xf numFmtId="164" fontId="0" fillId="0" borderId="13" xfId="42" applyNumberFormat="1" applyFont="1" applyBorder="1" applyAlignment="1">
      <alignment/>
    </xf>
    <xf numFmtId="164" fontId="0" fillId="0" borderId="0" xfId="42" applyNumberFormat="1" applyFont="1" applyBorder="1" applyAlignment="1">
      <alignment/>
    </xf>
    <xf numFmtId="9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5" fillId="0" borderId="10" xfId="0" applyFont="1" applyBorder="1" applyAlignment="1">
      <alignment horizontal="center"/>
    </xf>
    <xf numFmtId="0" fontId="6" fillId="0" borderId="0" xfId="0" applyFont="1" applyAlignment="1">
      <alignment/>
    </xf>
    <xf numFmtId="9" fontId="0" fillId="0" borderId="10" xfId="59" applyFont="1" applyBorder="1" applyAlignment="1">
      <alignment/>
    </xf>
    <xf numFmtId="165" fontId="1" fillId="0" borderId="0" xfId="59" applyNumberFormat="1" applyFont="1" applyAlignment="1">
      <alignment/>
    </xf>
    <xf numFmtId="164" fontId="0" fillId="0" borderId="0" xfId="42" applyNumberFormat="1" applyFont="1" applyAlignment="1" quotePrefix="1">
      <alignment horizontal="right"/>
    </xf>
    <xf numFmtId="0" fontId="0" fillId="0" borderId="11" xfId="0" applyBorder="1" applyAlignment="1">
      <alignment/>
    </xf>
    <xf numFmtId="0" fontId="0" fillId="0" borderId="0" xfId="0" applyAlignment="1">
      <alignment wrapText="1"/>
    </xf>
    <xf numFmtId="0" fontId="1" fillId="0" borderId="10" xfId="0" applyFont="1" applyBorder="1" applyAlignment="1">
      <alignment/>
    </xf>
    <xf numFmtId="0" fontId="0" fillId="0" borderId="0" xfId="0" applyAlignment="1" quotePrefix="1">
      <alignment horizontal="left"/>
    </xf>
    <xf numFmtId="37" fontId="0" fillId="0" borderId="0" xfId="0" applyNumberFormat="1" applyAlignment="1">
      <alignment/>
    </xf>
    <xf numFmtId="0" fontId="0" fillId="0" borderId="0" xfId="0" applyAlignment="1">
      <alignment horizontal="left"/>
    </xf>
    <xf numFmtId="166" fontId="6" fillId="0" borderId="0" xfId="44" applyNumberFormat="1" applyFont="1" applyAlignment="1">
      <alignment/>
    </xf>
    <xf numFmtId="9" fontId="6" fillId="0" borderId="0" xfId="59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164" fontId="0" fillId="0" borderId="0" xfId="42" applyNumberFormat="1" applyFont="1" applyAlignment="1">
      <alignment horizontal="right"/>
    </xf>
    <xf numFmtId="164" fontId="0" fillId="0" borderId="0" xfId="42" applyNumberFormat="1" applyFont="1" applyAlignment="1">
      <alignment/>
    </xf>
    <xf numFmtId="164" fontId="0" fillId="0" borderId="14" xfId="42" applyNumberFormat="1" applyFont="1" applyBorder="1" applyAlignment="1">
      <alignment/>
    </xf>
    <xf numFmtId="9" fontId="0" fillId="0" borderId="14" xfId="59" applyFont="1" applyBorder="1" applyAlignment="1">
      <alignment/>
    </xf>
    <xf numFmtId="0" fontId="0" fillId="0" borderId="0" xfId="0" applyFont="1" applyAlignment="1">
      <alignment horizontal="right"/>
    </xf>
    <xf numFmtId="9" fontId="0" fillId="0" borderId="0" xfId="0" applyNumberFormat="1" applyFont="1" applyAlignment="1">
      <alignment/>
    </xf>
    <xf numFmtId="166" fontId="0" fillId="0" borderId="0" xfId="44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7"/>
  <sheetViews>
    <sheetView tabSelected="1" zoomScalePageLayoutView="0" workbookViewId="0" topLeftCell="A1">
      <selection activeCell="I44" sqref="I44"/>
    </sheetView>
  </sheetViews>
  <sheetFormatPr defaultColWidth="8.8515625" defaultRowHeight="12.75"/>
  <cols>
    <col min="1" max="1" width="21.7109375" style="0" customWidth="1"/>
    <col min="2" max="3" width="9.28125" style="0" bestFit="1" customWidth="1"/>
    <col min="4" max="4" width="9.7109375" style="1" bestFit="1" customWidth="1"/>
    <col min="5" max="5" width="11.7109375" style="1" customWidth="1"/>
    <col min="6" max="8" width="13.00390625" style="0" customWidth="1"/>
  </cols>
  <sheetData>
    <row r="1" spans="1:11" ht="15">
      <c r="A1" s="2" t="s">
        <v>100</v>
      </c>
      <c r="G1" s="3" t="s">
        <v>101</v>
      </c>
      <c r="H1" s="4"/>
      <c r="I1" s="5"/>
      <c r="J1" s="1"/>
      <c r="K1" s="1"/>
    </row>
    <row r="2" spans="1:11" ht="12.75">
      <c r="A2" s="6"/>
      <c r="I2" s="1"/>
      <c r="J2" s="1"/>
      <c r="K2" s="1"/>
    </row>
    <row r="3" spans="1:11" ht="12.75">
      <c r="A3" s="6" t="s">
        <v>117</v>
      </c>
      <c r="B3">
        <v>5</v>
      </c>
      <c r="D3" s="7" t="s">
        <v>104</v>
      </c>
      <c r="E3" s="8">
        <v>18</v>
      </c>
      <c r="F3" s="6" t="str">
        <f>A3</f>
        <v>No. of units</v>
      </c>
      <c r="G3">
        <f>B3</f>
        <v>5</v>
      </c>
      <c r="J3" s="7" t="s">
        <v>104</v>
      </c>
      <c r="K3" s="8">
        <f>E3</f>
        <v>18</v>
      </c>
    </row>
    <row r="4" spans="1:11" ht="12.75">
      <c r="A4" s="9" t="s">
        <v>107</v>
      </c>
      <c r="E4" s="10" t="s">
        <v>108</v>
      </c>
      <c r="I4" s="1"/>
      <c r="J4" s="1"/>
      <c r="K4" s="1"/>
    </row>
    <row r="5" spans="1:11" ht="12.75">
      <c r="A5" s="13"/>
      <c r="B5" s="13"/>
      <c r="C5" s="14"/>
      <c r="D5" s="15" t="s">
        <v>110</v>
      </c>
      <c r="E5" s="15"/>
      <c r="F5" s="13" t="s">
        <v>102</v>
      </c>
      <c r="I5" s="1"/>
      <c r="J5" s="1"/>
      <c r="K5" s="1" t="s">
        <v>103</v>
      </c>
    </row>
    <row r="6" spans="4:11" ht="12.75">
      <c r="D6" s="11" t="s">
        <v>113</v>
      </c>
      <c r="E6" s="11" t="s">
        <v>114</v>
      </c>
      <c r="F6" s="13"/>
      <c r="I6" s="1"/>
      <c r="J6" s="1" t="s">
        <v>105</v>
      </c>
      <c r="K6" s="1" t="s">
        <v>106</v>
      </c>
    </row>
    <row r="7" spans="1:11" ht="15">
      <c r="A7" s="17" t="s">
        <v>0</v>
      </c>
      <c r="C7" s="18" t="s">
        <v>1</v>
      </c>
      <c r="D7" s="19"/>
      <c r="E7" s="19"/>
      <c r="F7" s="13" t="s">
        <v>109</v>
      </c>
      <c r="I7" s="1"/>
      <c r="J7" s="11" t="s">
        <v>102</v>
      </c>
      <c r="K7" s="12" t="s">
        <v>102</v>
      </c>
    </row>
    <row r="8" spans="1:11" ht="12.75">
      <c r="A8" s="20" t="s">
        <v>18</v>
      </c>
      <c r="C8" s="24">
        <v>0.06</v>
      </c>
      <c r="D8" s="1">
        <v>70000</v>
      </c>
      <c r="E8" s="19">
        <f>D8*$B$3</f>
        <v>350000</v>
      </c>
      <c r="F8" s="6" t="s">
        <v>50</v>
      </c>
      <c r="G8" s="16" t="s">
        <v>111</v>
      </c>
      <c r="H8" t="s">
        <v>112</v>
      </c>
      <c r="I8" s="1"/>
      <c r="J8" s="1"/>
      <c r="K8" s="1"/>
    </row>
    <row r="9" spans="1:11" ht="12.75">
      <c r="A9" s="54" t="s">
        <v>51</v>
      </c>
      <c r="C9" s="21"/>
      <c r="D9" s="1">
        <v>50000</v>
      </c>
      <c r="E9" s="19">
        <f>D9*$B$3</f>
        <v>250000</v>
      </c>
      <c r="F9">
        <v>3</v>
      </c>
      <c r="G9">
        <f>$B$3</f>
        <v>5</v>
      </c>
      <c r="H9" s="3">
        <v>631</v>
      </c>
      <c r="I9" s="1"/>
      <c r="J9" s="1">
        <f>G9*H9</f>
        <v>3155</v>
      </c>
      <c r="K9" s="1">
        <f>J9*K3</f>
        <v>56790</v>
      </c>
    </row>
    <row r="10" spans="1:11" ht="12.75">
      <c r="A10" t="s">
        <v>52</v>
      </c>
      <c r="C10" s="21"/>
      <c r="D10" s="1">
        <v>0</v>
      </c>
      <c r="E10" s="19">
        <f>D10*$B$3</f>
        <v>0</v>
      </c>
      <c r="I10" s="1"/>
      <c r="J10" s="1"/>
      <c r="K10" s="1">
        <f>J10*$E$3</f>
        <v>0</v>
      </c>
    </row>
    <row r="11" spans="3:11" ht="12.75">
      <c r="C11" s="6" t="s">
        <v>6</v>
      </c>
      <c r="D11" s="1">
        <f>SUM(D8:D10)</f>
        <v>120000</v>
      </c>
      <c r="E11" s="19">
        <f>D11*$B$3</f>
        <v>600000</v>
      </c>
      <c r="I11" s="1"/>
      <c r="J11" s="1"/>
      <c r="K11" s="1">
        <f>J11*$E$3</f>
        <v>0</v>
      </c>
    </row>
    <row r="12" spans="5:11" ht="12.75">
      <c r="E12" s="7"/>
      <c r="I12" s="7" t="s">
        <v>53</v>
      </c>
      <c r="J12" s="1">
        <f>SUM(J9:J11)</f>
        <v>3155</v>
      </c>
      <c r="K12" s="1">
        <f>J12*$E$3</f>
        <v>56790</v>
      </c>
    </row>
    <row r="13" spans="1:11" ht="12.75">
      <c r="A13" s="17" t="s">
        <v>9</v>
      </c>
      <c r="I13" s="7"/>
      <c r="J13" s="1"/>
      <c r="K13" s="1"/>
    </row>
    <row r="14" spans="1:11" ht="12.75">
      <c r="A14" s="20" t="s">
        <v>18</v>
      </c>
      <c r="C14" s="24">
        <v>0.06</v>
      </c>
      <c r="D14" s="1">
        <v>70000</v>
      </c>
      <c r="E14" s="19">
        <f>D14*$B$3</f>
        <v>350000</v>
      </c>
      <c r="I14" s="7" t="s">
        <v>54</v>
      </c>
      <c r="J14" s="1">
        <f>J9*-0.075</f>
        <v>-236.625</v>
      </c>
      <c r="K14" s="1">
        <f>J14*$E$3</f>
        <v>-4259.25</v>
      </c>
    </row>
    <row r="15" spans="1:11" ht="12.75">
      <c r="A15" t="str">
        <f>A9</f>
        <v>HOME</v>
      </c>
      <c r="C15" s="21"/>
      <c r="D15" s="8">
        <v>50000</v>
      </c>
      <c r="E15" s="19">
        <f>D15*$B$3</f>
        <v>250000</v>
      </c>
      <c r="I15" s="7"/>
      <c r="J15" s="1"/>
      <c r="K15" s="1"/>
    </row>
    <row r="16" spans="1:11" ht="12.75">
      <c r="A16" t="s">
        <v>4</v>
      </c>
      <c r="C16" s="21"/>
      <c r="D16" s="1">
        <v>0</v>
      </c>
      <c r="E16" s="19">
        <f>D16*$B$3</f>
        <v>0</v>
      </c>
      <c r="I16" s="7" t="s">
        <v>46</v>
      </c>
      <c r="J16" s="1">
        <f>SUM(J12:J14)</f>
        <v>2918.375</v>
      </c>
      <c r="K16" s="1">
        <f>J16*$E$3</f>
        <v>52530.75</v>
      </c>
    </row>
    <row r="17" spans="3:11" ht="12.75">
      <c r="C17" s="6" t="s">
        <v>6</v>
      </c>
      <c r="D17" s="1">
        <f>SUM(D14:D16)</f>
        <v>120000</v>
      </c>
      <c r="E17" s="19">
        <f>D17*$B$3</f>
        <v>600000</v>
      </c>
      <c r="F17" s="13" t="s">
        <v>55</v>
      </c>
      <c r="I17" s="1"/>
      <c r="J17" s="1"/>
      <c r="K17" s="1"/>
    </row>
    <row r="18" spans="1:11" ht="12.75">
      <c r="A18" s="9" t="s">
        <v>17</v>
      </c>
      <c r="F18" s="43" t="s">
        <v>56</v>
      </c>
      <c r="I18" s="1"/>
      <c r="J18" s="1"/>
      <c r="K18" s="1"/>
    </row>
    <row r="19" spans="4:11" ht="12.75">
      <c r="D19" s="11" t="s">
        <v>93</v>
      </c>
      <c r="E19" s="11" t="s">
        <v>94</v>
      </c>
      <c r="I19" s="1"/>
      <c r="J19" s="1"/>
      <c r="K19" s="1"/>
    </row>
    <row r="20" spans="1:11" ht="12.75">
      <c r="A20" s="44" t="s">
        <v>57</v>
      </c>
      <c r="B20" s="27"/>
      <c r="C20" s="27"/>
      <c r="D20" s="19"/>
      <c r="E20" s="19"/>
      <c r="I20" s="7" t="s">
        <v>46</v>
      </c>
      <c r="J20" s="1">
        <f>SUM(J18:J19)</f>
        <v>0</v>
      </c>
      <c r="K20" s="1">
        <f>J20*$E$3</f>
        <v>0</v>
      </c>
    </row>
    <row r="21" spans="1:11" ht="12.75">
      <c r="A21" s="27" t="s">
        <v>58</v>
      </c>
      <c r="B21" s="27"/>
      <c r="C21" s="27"/>
      <c r="D21" s="19">
        <v>0</v>
      </c>
      <c r="E21" s="19">
        <f>D21*$B$3</f>
        <v>0</v>
      </c>
      <c r="I21" s="1"/>
      <c r="J21" s="1"/>
      <c r="K21" s="1"/>
    </row>
    <row r="22" spans="1:11" ht="12.75">
      <c r="A22" s="27"/>
      <c r="B22" s="27"/>
      <c r="C22" s="27"/>
      <c r="D22" s="19">
        <v>0</v>
      </c>
      <c r="E22" s="19">
        <f>D22*$B$3</f>
        <v>0</v>
      </c>
      <c r="I22" s="7" t="s">
        <v>2</v>
      </c>
      <c r="J22" s="1">
        <f>J16+J20</f>
        <v>2918.375</v>
      </c>
      <c r="K22" s="1">
        <f>J22*$E$3</f>
        <v>52530.75</v>
      </c>
    </row>
    <row r="23" spans="1:11" ht="12.75">
      <c r="A23" s="27"/>
      <c r="B23" s="27"/>
      <c r="C23" s="28" t="s">
        <v>59</v>
      </c>
      <c r="D23" s="19">
        <f>SUM(D21:D22)</f>
        <v>0</v>
      </c>
      <c r="E23" s="19">
        <f>D23*$B$3</f>
        <v>0</v>
      </c>
      <c r="I23" s="1"/>
      <c r="J23" s="1"/>
      <c r="K23" s="1"/>
    </row>
    <row r="24" spans="4:11" ht="12.75">
      <c r="D24" s="11"/>
      <c r="E24" s="11"/>
      <c r="F24" s="45" t="s">
        <v>3</v>
      </c>
      <c r="I24" s="1"/>
      <c r="J24" s="1"/>
      <c r="K24" s="1" t="s">
        <v>103</v>
      </c>
    </row>
    <row r="25" spans="1:11" ht="12.75">
      <c r="A25" s="17" t="s">
        <v>60</v>
      </c>
      <c r="I25" s="1" t="s">
        <v>5</v>
      </c>
      <c r="J25" s="22" t="s">
        <v>105</v>
      </c>
      <c r="K25" s="1" t="s">
        <v>106</v>
      </c>
    </row>
    <row r="26" spans="6:11" ht="12.75">
      <c r="F26" s="17" t="s">
        <v>7</v>
      </c>
      <c r="I26" s="1" t="s">
        <v>8</v>
      </c>
      <c r="J26" s="23" t="s">
        <v>3</v>
      </c>
      <c r="K26" s="23" t="s">
        <v>3</v>
      </c>
    </row>
    <row r="27" spans="1:11" ht="12.75">
      <c r="A27" s="27" t="s">
        <v>61</v>
      </c>
      <c r="B27" s="27"/>
      <c r="C27" s="27"/>
      <c r="D27" s="19">
        <v>59000</v>
      </c>
      <c r="E27" s="19">
        <f>D27*$B$3</f>
        <v>295000</v>
      </c>
      <c r="I27" s="1"/>
      <c r="J27" s="1"/>
      <c r="K27" s="1"/>
    </row>
    <row r="28" spans="1:11" ht="12.75">
      <c r="A28" s="27" t="s">
        <v>62</v>
      </c>
      <c r="B28" s="27"/>
      <c r="C28" s="27"/>
      <c r="D28" s="19">
        <v>0</v>
      </c>
      <c r="E28" s="19">
        <f>D28*$B$3</f>
        <v>0</v>
      </c>
      <c r="F28" t="s">
        <v>95</v>
      </c>
      <c r="G28" s="16"/>
      <c r="I28" s="1">
        <v>0</v>
      </c>
      <c r="J28" s="1">
        <v>0</v>
      </c>
      <c r="K28" s="1">
        <f aca="true" t="shared" si="0" ref="K28:K35">J28*$E$3</f>
        <v>0</v>
      </c>
    </row>
    <row r="29" spans="1:11" ht="12.75">
      <c r="A29" s="27" t="s">
        <v>63</v>
      </c>
      <c r="B29" s="27"/>
      <c r="C29" s="27"/>
      <c r="D29" s="19">
        <v>2000</v>
      </c>
      <c r="E29" s="19">
        <f>D29*$B$3</f>
        <v>10000</v>
      </c>
      <c r="F29" t="s">
        <v>96</v>
      </c>
      <c r="I29" s="1">
        <v>100</v>
      </c>
      <c r="J29" s="1">
        <v>625</v>
      </c>
      <c r="K29" s="1">
        <f t="shared" si="0"/>
        <v>11250</v>
      </c>
    </row>
    <row r="30" spans="1:11" ht="12.75">
      <c r="A30" s="27"/>
      <c r="B30" s="27"/>
      <c r="C30" s="28" t="s">
        <v>20</v>
      </c>
      <c r="D30" s="29">
        <f>SUM(D27:D29)</f>
        <v>61000</v>
      </c>
      <c r="E30" s="19">
        <f>D30*$B$3</f>
        <v>305000</v>
      </c>
      <c r="F30" t="s">
        <v>43</v>
      </c>
      <c r="I30" s="1">
        <v>60</v>
      </c>
      <c r="J30" s="1">
        <f>I30*$B$3</f>
        <v>300</v>
      </c>
      <c r="K30" s="1">
        <f t="shared" si="0"/>
        <v>5400</v>
      </c>
    </row>
    <row r="31" spans="1:11" ht="12.75">
      <c r="A31" s="17" t="s">
        <v>64</v>
      </c>
      <c r="F31" t="s">
        <v>97</v>
      </c>
      <c r="I31" s="1">
        <v>50</v>
      </c>
      <c r="J31" s="1">
        <f>I31*$B$3</f>
        <v>250</v>
      </c>
      <c r="K31" s="1">
        <f t="shared" si="0"/>
        <v>4500</v>
      </c>
    </row>
    <row r="32" spans="6:11" ht="12.75">
      <c r="F32" t="s">
        <v>98</v>
      </c>
      <c r="I32" s="1">
        <v>0</v>
      </c>
      <c r="J32" s="1">
        <f>I32*$B$3</f>
        <v>0</v>
      </c>
      <c r="K32" s="1">
        <f t="shared" si="0"/>
        <v>0</v>
      </c>
    </row>
    <row r="33" spans="1:11" ht="12.75">
      <c r="A33" s="27" t="s">
        <v>65</v>
      </c>
      <c r="B33" s="27"/>
      <c r="C33" s="27"/>
      <c r="D33" s="19"/>
      <c r="E33" s="19">
        <f>D33*$B$3</f>
        <v>0</v>
      </c>
      <c r="F33" t="s">
        <v>10</v>
      </c>
      <c r="I33" s="1">
        <v>0</v>
      </c>
      <c r="J33" s="1">
        <f>I33*$B$3</f>
        <v>0</v>
      </c>
      <c r="K33" s="1">
        <f t="shared" si="0"/>
        <v>0</v>
      </c>
    </row>
    <row r="34" spans="1:11" ht="12.75">
      <c r="A34" s="27" t="s">
        <v>66</v>
      </c>
      <c r="B34" s="27"/>
      <c r="C34" s="27"/>
      <c r="D34" s="19">
        <v>40000</v>
      </c>
      <c r="E34" s="19">
        <f>D34*$B$3</f>
        <v>200000</v>
      </c>
      <c r="H34" s="7" t="s">
        <v>11</v>
      </c>
      <c r="I34" s="25">
        <f>SUM(I28:I33)</f>
        <v>210</v>
      </c>
      <c r="J34" s="1">
        <f>SUM(J28:J33)</f>
        <v>1175</v>
      </c>
      <c r="K34" s="1">
        <f t="shared" si="0"/>
        <v>21150</v>
      </c>
    </row>
    <row r="35" spans="1:11" ht="12.75">
      <c r="A35" s="27" t="s">
        <v>67</v>
      </c>
      <c r="B35" s="28" t="s">
        <v>68</v>
      </c>
      <c r="C35" s="46">
        <v>0.1</v>
      </c>
      <c r="D35" s="19">
        <f>D34*C35</f>
        <v>4000</v>
      </c>
      <c r="E35" s="19">
        <f>D35*$B$3</f>
        <v>20000</v>
      </c>
      <c r="H35" s="7" t="s">
        <v>12</v>
      </c>
      <c r="I35" s="1">
        <f>J35/8</f>
        <v>217.921875</v>
      </c>
      <c r="J35" s="1">
        <f>J22-J34</f>
        <v>1743.375</v>
      </c>
      <c r="K35" s="1">
        <f t="shared" si="0"/>
        <v>31380.75</v>
      </c>
    </row>
    <row r="36" spans="1:11" ht="12.75">
      <c r="A36" s="27" t="s">
        <v>69</v>
      </c>
      <c r="B36" s="27"/>
      <c r="C36" s="27"/>
      <c r="D36" s="19"/>
      <c r="E36" s="19">
        <f>D36*$B$3</f>
        <v>0</v>
      </c>
      <c r="I36" s="1"/>
      <c r="J36" s="1"/>
      <c r="K36" s="1"/>
    </row>
    <row r="37" spans="1:11" ht="12.75">
      <c r="A37" s="27"/>
      <c r="B37" s="27"/>
      <c r="C37" s="28" t="s">
        <v>23</v>
      </c>
      <c r="D37" s="29">
        <f>SUM(D33:D36)</f>
        <v>44000</v>
      </c>
      <c r="E37" s="19">
        <f>D37*$B$3</f>
        <v>220000</v>
      </c>
      <c r="F37" s="9" t="s">
        <v>13</v>
      </c>
      <c r="I37" s="1"/>
      <c r="J37" s="1"/>
      <c r="K37" s="1"/>
    </row>
    <row r="38" spans="1:11" ht="12.75">
      <c r="A38" s="17" t="s">
        <v>70</v>
      </c>
      <c r="I38" s="1"/>
      <c r="J38" s="1"/>
      <c r="K38" s="1"/>
    </row>
    <row r="39" spans="6:11" ht="12.75">
      <c r="F39" s="17" t="s">
        <v>14</v>
      </c>
      <c r="G39" t="s">
        <v>15</v>
      </c>
      <c r="H39" s="14" t="s">
        <v>16</v>
      </c>
      <c r="I39" s="15"/>
      <c r="J39" s="1"/>
      <c r="K39" s="1"/>
    </row>
    <row r="40" spans="1:11" ht="12.75">
      <c r="A40" s="43" t="s">
        <v>71</v>
      </c>
      <c r="F40" t="s">
        <v>18</v>
      </c>
      <c r="G40" s="26">
        <f>D14</f>
        <v>70000</v>
      </c>
      <c r="H40" s="47">
        <v>0.06</v>
      </c>
      <c r="I40" s="1">
        <f>PMT(H40/12,I52*12,G40)*(-1)</f>
        <v>419.68536760693127</v>
      </c>
      <c r="J40" s="1">
        <f>I40*B3</f>
        <v>2098.426838034656</v>
      </c>
      <c r="K40" s="1">
        <f>J40*12</f>
        <v>25181.122056415872</v>
      </c>
    </row>
    <row r="41" spans="1:11" ht="12.75">
      <c r="A41" s="27" t="s">
        <v>72</v>
      </c>
      <c r="B41" s="27"/>
      <c r="C41" s="27"/>
      <c r="D41" s="19">
        <v>0</v>
      </c>
      <c r="E41" s="19">
        <f aca="true" t="shared" si="1" ref="E41:E46">D41*$B$3</f>
        <v>0</v>
      </c>
      <c r="I41" s="48"/>
      <c r="J41" s="1"/>
      <c r="K41" s="1"/>
    </row>
    <row r="42" spans="1:11" ht="12.75">
      <c r="A42" s="27" t="s">
        <v>73</v>
      </c>
      <c r="B42" s="28" t="s">
        <v>68</v>
      </c>
      <c r="C42" s="46"/>
      <c r="D42" s="19">
        <v>10000</v>
      </c>
      <c r="E42" s="19">
        <f t="shared" si="1"/>
        <v>50000</v>
      </c>
      <c r="I42" s="1"/>
      <c r="J42" s="1"/>
      <c r="K42" s="1"/>
    </row>
    <row r="43" spans="1:11" ht="12.75">
      <c r="A43" s="27" t="s">
        <v>74</v>
      </c>
      <c r="B43" s="27"/>
      <c r="C43" s="27"/>
      <c r="D43" s="19">
        <v>0</v>
      </c>
      <c r="E43" s="19">
        <f t="shared" si="1"/>
        <v>0</v>
      </c>
      <c r="I43" s="7" t="s">
        <v>19</v>
      </c>
      <c r="J43" s="1">
        <f>SUM(J40:J42)</f>
        <v>2098.426838034656</v>
      </c>
      <c r="K43" s="1">
        <f>J43*12</f>
        <v>25181.122056415872</v>
      </c>
    </row>
    <row r="44" spans="1:11" ht="13.5" thickBot="1">
      <c r="A44" s="27" t="s">
        <v>75</v>
      </c>
      <c r="B44" s="27"/>
      <c r="C44" s="27"/>
      <c r="D44" s="19">
        <v>0</v>
      </c>
      <c r="E44" s="19">
        <f t="shared" si="1"/>
        <v>0</v>
      </c>
      <c r="H44" s="30" t="s">
        <v>21</v>
      </c>
      <c r="I44" s="25">
        <f>J44/8</f>
        <v>-44.38147975433202</v>
      </c>
      <c r="J44" s="1">
        <f>J35-J43</f>
        <v>-355.05183803465616</v>
      </c>
      <c r="K44" s="1">
        <f>J44*$E$3</f>
        <v>-6390.933084623811</v>
      </c>
    </row>
    <row r="45" spans="1:11" ht="12.75">
      <c r="A45" s="27" t="s">
        <v>76</v>
      </c>
      <c r="B45" s="27"/>
      <c r="C45" s="27"/>
      <c r="D45" s="19">
        <v>0</v>
      </c>
      <c r="E45" s="19">
        <f t="shared" si="1"/>
        <v>0</v>
      </c>
      <c r="F45" s="49"/>
      <c r="G45" s="31" t="s">
        <v>22</v>
      </c>
      <c r="H45" s="31"/>
      <c r="I45" s="32"/>
      <c r="J45" s="33"/>
      <c r="K45" s="33"/>
    </row>
    <row r="46" spans="2:11" ht="12.75">
      <c r="B46" s="27"/>
      <c r="C46" s="28" t="s">
        <v>77</v>
      </c>
      <c r="D46" s="19">
        <f>SUM(D41:D45)</f>
        <v>10000</v>
      </c>
      <c r="E46" s="19">
        <f t="shared" si="1"/>
        <v>50000</v>
      </c>
      <c r="I46" s="1"/>
      <c r="J46" s="1"/>
      <c r="K46" s="1"/>
    </row>
    <row r="47" spans="1:11" ht="25.5">
      <c r="A47" s="43" t="s">
        <v>78</v>
      </c>
      <c r="B47" s="50" t="s">
        <v>79</v>
      </c>
      <c r="C47" s="50" t="s">
        <v>80</v>
      </c>
      <c r="F47" t="s">
        <v>107</v>
      </c>
      <c r="I47" s="1"/>
      <c r="J47" s="1"/>
      <c r="K47" s="1"/>
    </row>
    <row r="48" spans="1:11" ht="12.75">
      <c r="A48" s="27" t="s">
        <v>81</v>
      </c>
      <c r="B48" s="27">
        <v>100</v>
      </c>
      <c r="C48" s="51">
        <v>5</v>
      </c>
      <c r="D48" s="19">
        <f aca="true" t="shared" si="2" ref="D48:D53">B48*C48</f>
        <v>500</v>
      </c>
      <c r="E48" s="19">
        <f aca="true" t="shared" si="3" ref="E48:E54">D48*$B$3</f>
        <v>2500</v>
      </c>
      <c r="I48" s="1"/>
      <c r="J48" s="1"/>
      <c r="K48" s="1"/>
    </row>
    <row r="49" spans="1:11" ht="12.75">
      <c r="A49" s="27" t="s">
        <v>45</v>
      </c>
      <c r="B49" s="27">
        <v>0</v>
      </c>
      <c r="C49" s="27">
        <v>5</v>
      </c>
      <c r="D49" s="19">
        <f t="shared" si="2"/>
        <v>0</v>
      </c>
      <c r="E49" s="19">
        <f t="shared" si="3"/>
        <v>0</v>
      </c>
      <c r="F49" s="17" t="s">
        <v>24</v>
      </c>
      <c r="H49" s="34" t="s">
        <v>25</v>
      </c>
      <c r="I49" s="15"/>
      <c r="J49" s="1"/>
      <c r="K49" s="11" t="s">
        <v>15</v>
      </c>
    </row>
    <row r="50" spans="1:11" ht="12.75">
      <c r="A50" s="27" t="s">
        <v>82</v>
      </c>
      <c r="B50" s="27">
        <v>125</v>
      </c>
      <c r="C50" s="27">
        <v>5</v>
      </c>
      <c r="D50" s="19">
        <f t="shared" si="2"/>
        <v>625</v>
      </c>
      <c r="E50" s="19">
        <f t="shared" si="3"/>
        <v>3125</v>
      </c>
      <c r="I50" s="1"/>
      <c r="J50" s="1"/>
      <c r="K50" s="1"/>
    </row>
    <row r="51" spans="1:11" ht="12.75">
      <c r="A51" s="27" t="s">
        <v>83</v>
      </c>
      <c r="B51" s="27">
        <v>0</v>
      </c>
      <c r="C51" s="27">
        <v>5</v>
      </c>
      <c r="D51" s="19">
        <f t="shared" si="2"/>
        <v>0</v>
      </c>
      <c r="E51" s="19">
        <f t="shared" si="3"/>
        <v>0</v>
      </c>
      <c r="F51" t="s">
        <v>27</v>
      </c>
      <c r="I51" s="1"/>
      <c r="J51" s="1"/>
      <c r="K51" s="1">
        <v>2090</v>
      </c>
    </row>
    <row r="52" spans="1:11" ht="12.75">
      <c r="A52" s="27" t="s">
        <v>84</v>
      </c>
      <c r="B52" s="27">
        <f>750/12</f>
        <v>62.5</v>
      </c>
      <c r="C52" s="27">
        <v>5</v>
      </c>
      <c r="D52" s="19">
        <f t="shared" si="2"/>
        <v>312.5</v>
      </c>
      <c r="E52" s="19">
        <f t="shared" si="3"/>
        <v>1562.5</v>
      </c>
      <c r="F52" t="s">
        <v>29</v>
      </c>
      <c r="H52" s="47">
        <v>0.06</v>
      </c>
      <c r="I52" s="1">
        <v>30</v>
      </c>
      <c r="J52" s="1"/>
      <c r="K52" s="8">
        <v>70410</v>
      </c>
    </row>
    <row r="53" spans="1:11" ht="12.75">
      <c r="A53" s="27" t="s">
        <v>85</v>
      </c>
      <c r="B53" s="19">
        <f>C8/12*D8</f>
        <v>350</v>
      </c>
      <c r="C53" s="27">
        <v>5</v>
      </c>
      <c r="D53" s="19">
        <f t="shared" si="2"/>
        <v>1750</v>
      </c>
      <c r="E53" s="19">
        <f t="shared" si="3"/>
        <v>8750</v>
      </c>
      <c r="F53" s="52" t="s">
        <v>30</v>
      </c>
      <c r="H53" s="42">
        <v>0</v>
      </c>
      <c r="I53" s="1" t="s">
        <v>115</v>
      </c>
      <c r="J53" s="1"/>
      <c r="K53" s="1">
        <v>40000</v>
      </c>
    </row>
    <row r="54" spans="1:11" ht="12.75">
      <c r="A54" s="27"/>
      <c r="B54" s="27"/>
      <c r="C54" s="28" t="s">
        <v>77</v>
      </c>
      <c r="D54" s="19">
        <f>SUM(D48:D53)</f>
        <v>3187.5</v>
      </c>
      <c r="E54" s="19">
        <f t="shared" si="3"/>
        <v>15937.5</v>
      </c>
      <c r="F54" t="s">
        <v>86</v>
      </c>
      <c r="I54" s="1"/>
      <c r="J54" s="1"/>
      <c r="K54" s="1">
        <v>0</v>
      </c>
    </row>
    <row r="55" spans="1:11" ht="12.75">
      <c r="A55" s="43" t="s">
        <v>87</v>
      </c>
      <c r="I55" s="1"/>
      <c r="J55" s="1" t="s">
        <v>31</v>
      </c>
      <c r="K55" s="1">
        <f>SUM(K51:K54)</f>
        <v>112500</v>
      </c>
    </row>
    <row r="56" spans="1:11" ht="12.75">
      <c r="A56" s="27" t="s">
        <v>88</v>
      </c>
      <c r="B56" s="27"/>
      <c r="C56" s="27"/>
      <c r="D56" s="28">
        <v>0</v>
      </c>
      <c r="E56" s="19">
        <f aca="true" t="shared" si="4" ref="E56:E61">D56*$B$3</f>
        <v>0</v>
      </c>
      <c r="I56" s="1"/>
      <c r="J56" s="1"/>
      <c r="K56" s="1"/>
    </row>
    <row r="57" spans="1:11" ht="12.75">
      <c r="A57" s="27" t="s">
        <v>89</v>
      </c>
      <c r="B57" s="27"/>
      <c r="C57" s="27"/>
      <c r="D57" s="28">
        <v>0</v>
      </c>
      <c r="E57" s="19">
        <f t="shared" si="4"/>
        <v>0</v>
      </c>
      <c r="F57" t="s">
        <v>32</v>
      </c>
      <c r="I57" s="1"/>
      <c r="J57" s="1"/>
      <c r="K57" s="1"/>
    </row>
    <row r="58" spans="1:11" ht="12.75">
      <c r="A58" s="27" t="s">
        <v>90</v>
      </c>
      <c r="B58" s="27"/>
      <c r="C58" s="27"/>
      <c r="D58" s="28">
        <v>0</v>
      </c>
      <c r="E58" s="19">
        <f t="shared" si="4"/>
        <v>0</v>
      </c>
      <c r="I58" s="1"/>
      <c r="J58" s="1"/>
      <c r="K58" s="1"/>
    </row>
    <row r="59" spans="1:11" ht="12.75">
      <c r="A59" s="27" t="s">
        <v>91</v>
      </c>
      <c r="B59" s="27"/>
      <c r="C59" s="27"/>
      <c r="D59" s="28">
        <v>0</v>
      </c>
      <c r="E59" s="19">
        <f t="shared" si="4"/>
        <v>0</v>
      </c>
      <c r="F59" t="s">
        <v>33</v>
      </c>
      <c r="I59" s="1"/>
      <c r="J59" s="1"/>
      <c r="K59" s="1">
        <v>110000</v>
      </c>
    </row>
    <row r="60" spans="1:11" ht="12.75">
      <c r="A60" s="27" t="s">
        <v>92</v>
      </c>
      <c r="B60" s="27"/>
      <c r="C60" s="27"/>
      <c r="D60" s="28">
        <v>0</v>
      </c>
      <c r="E60" s="19">
        <f t="shared" si="4"/>
        <v>0</v>
      </c>
      <c r="F60" t="s">
        <v>35</v>
      </c>
      <c r="I60" s="1"/>
      <c r="J60" s="1"/>
      <c r="K60" s="1">
        <v>2500</v>
      </c>
    </row>
    <row r="61" spans="1:11" ht="12.75">
      <c r="A61" s="27"/>
      <c r="B61" s="27"/>
      <c r="C61" s="28" t="s">
        <v>77</v>
      </c>
      <c r="D61" s="19">
        <f>5000-D54</f>
        <v>1812.5</v>
      </c>
      <c r="E61" s="19">
        <f t="shared" si="4"/>
        <v>9062.5</v>
      </c>
      <c r="F61" t="s">
        <v>36</v>
      </c>
      <c r="I61" s="1"/>
      <c r="J61" s="1"/>
      <c r="K61" s="1">
        <v>0</v>
      </c>
    </row>
    <row r="62" spans="1:11" ht="13.5" thickBot="1">
      <c r="A62" s="35"/>
      <c r="B62" s="35"/>
      <c r="C62" s="36" t="s">
        <v>26</v>
      </c>
      <c r="D62" s="41">
        <f>D46+D54+D61</f>
        <v>15000</v>
      </c>
      <c r="E62" s="19"/>
      <c r="I62" s="1"/>
      <c r="J62" s="1"/>
      <c r="K62" s="1"/>
    </row>
    <row r="63" spans="1:11" ht="13.5" thickTop="1">
      <c r="A63" s="37"/>
      <c r="B63" s="37"/>
      <c r="C63" s="38" t="s">
        <v>28</v>
      </c>
      <c r="D63" s="39">
        <f>D23+D30+D37+D62</f>
        <v>120000</v>
      </c>
      <c r="E63" s="40">
        <f>D63*$B$3</f>
        <v>600000</v>
      </c>
      <c r="I63" s="1"/>
      <c r="J63" s="1" t="s">
        <v>31</v>
      </c>
      <c r="K63" s="1">
        <f>SUM(K59:K62)</f>
        <v>112500</v>
      </c>
    </row>
    <row r="64" spans="1:11" ht="12.75">
      <c r="A64" t="s">
        <v>99</v>
      </c>
      <c r="D64" s="53">
        <v>0</v>
      </c>
      <c r="E64" s="53">
        <f>D64*B3</f>
        <v>0</v>
      </c>
      <c r="I64" s="1"/>
      <c r="J64" s="1"/>
      <c r="K64" s="1"/>
    </row>
    <row r="65" spans="4:11" ht="12.75">
      <c r="D65" s="1">
        <f>SUM(D63:D64)</f>
        <v>120000</v>
      </c>
      <c r="E65" s="1">
        <f>SUM(E63:E64)</f>
        <v>600000</v>
      </c>
      <c r="F65" s="9" t="s">
        <v>38</v>
      </c>
      <c r="I65" s="1"/>
      <c r="J65" s="1"/>
      <c r="K65" s="1"/>
    </row>
    <row r="66" spans="4:11" ht="12.75">
      <c r="D66"/>
      <c r="E66"/>
      <c r="I66" s="1"/>
      <c r="J66" s="1"/>
      <c r="K66" s="1"/>
    </row>
    <row r="67" spans="1:11" ht="12.75">
      <c r="A67" s="57"/>
      <c r="B67" s="58" t="s">
        <v>34</v>
      </c>
      <c r="C67" s="57"/>
      <c r="D67" s="57"/>
      <c r="E67" s="57"/>
      <c r="I67" s="1"/>
      <c r="J67" s="11" t="s">
        <v>105</v>
      </c>
      <c r="K67" s="11" t="s">
        <v>40</v>
      </c>
    </row>
    <row r="68" spans="1:11" ht="12.75">
      <c r="A68" s="57" t="s">
        <v>37</v>
      </c>
      <c r="B68" s="57"/>
      <c r="C68" s="57"/>
      <c r="D68" s="57"/>
      <c r="E68" s="61">
        <f>K72/0.3</f>
        <v>23285.7409904023</v>
      </c>
      <c r="F68" t="s">
        <v>41</v>
      </c>
      <c r="I68" s="1"/>
      <c r="J68" s="1">
        <v>100</v>
      </c>
      <c r="K68" s="1">
        <f>J68*12</f>
        <v>1200</v>
      </c>
    </row>
    <row r="69" spans="1:11" ht="12.75">
      <c r="A69" s="57" t="s">
        <v>39</v>
      </c>
      <c r="B69" s="57"/>
      <c r="C69" s="57"/>
      <c r="D69" s="59"/>
      <c r="E69" s="62">
        <f>E68/E70</f>
        <v>0.3861648588789768</v>
      </c>
      <c r="F69" t="s">
        <v>43</v>
      </c>
      <c r="I69" s="1"/>
      <c r="J69" s="1">
        <v>60</v>
      </c>
      <c r="K69" s="1">
        <f>J69*12</f>
        <v>720</v>
      </c>
    </row>
    <row r="70" spans="1:11" ht="12.75">
      <c r="A70" s="59" t="s">
        <v>42</v>
      </c>
      <c r="B70" s="57"/>
      <c r="C70" s="57"/>
      <c r="D70" s="57"/>
      <c r="E70" s="61">
        <v>60300</v>
      </c>
      <c r="F70" s="17" t="s">
        <v>47</v>
      </c>
      <c r="I70" s="1"/>
      <c r="J70" s="1"/>
      <c r="K70" s="1"/>
    </row>
    <row r="71" spans="1:11" ht="12.75">
      <c r="A71" s="63" t="s">
        <v>44</v>
      </c>
      <c r="B71" s="57"/>
      <c r="C71" s="57"/>
      <c r="D71" s="60"/>
      <c r="E71" s="61">
        <f>E70*0.8</f>
        <v>48240</v>
      </c>
      <c r="F71" t="s">
        <v>48</v>
      </c>
      <c r="I71" s="1"/>
      <c r="J71" s="1">
        <f>PMT(H52/12,I52*12,K52)*(-1)</f>
        <v>422.1435247600576</v>
      </c>
      <c r="K71" s="1">
        <f>J71*12</f>
        <v>5065.722297120691</v>
      </c>
    </row>
    <row r="72" spans="1:11" ht="12.75">
      <c r="A72" s="64">
        <v>1.2</v>
      </c>
      <c r="B72" s="57"/>
      <c r="C72" s="57"/>
      <c r="D72" s="60"/>
      <c r="E72" s="65">
        <f>E70*1.2</f>
        <v>72360</v>
      </c>
      <c r="I72" s="7" t="s">
        <v>49</v>
      </c>
      <c r="J72" s="8">
        <f>SUM(J68:J71)</f>
        <v>582.1435247600575</v>
      </c>
      <c r="K72" s="1">
        <f>J72*12</f>
        <v>6985.72229712069</v>
      </c>
    </row>
    <row r="73" spans="3:5" ht="12.75">
      <c r="C73" s="57"/>
      <c r="D73" s="57"/>
      <c r="E73" s="60"/>
    </row>
    <row r="74" spans="3:5" ht="12.75">
      <c r="C74" s="57"/>
      <c r="D74" s="57"/>
      <c r="E74" s="57"/>
    </row>
    <row r="75" spans="4:5" ht="12.75">
      <c r="D75"/>
      <c r="E75"/>
    </row>
    <row r="76" spans="4:5" ht="12.75">
      <c r="D76"/>
      <c r="E76"/>
    </row>
    <row r="77" spans="4:5" ht="12.75">
      <c r="D77"/>
      <c r="E77"/>
    </row>
    <row r="78" spans="4:5" ht="12.75">
      <c r="D78"/>
      <c r="E78"/>
    </row>
    <row r="79" spans="4:5" ht="12.75">
      <c r="D79"/>
      <c r="E79"/>
    </row>
    <row r="80" spans="4:5" ht="12.75">
      <c r="D80"/>
      <c r="E80"/>
    </row>
    <row r="81" spans="4:5" ht="12.75">
      <c r="D81"/>
      <c r="E81"/>
    </row>
    <row r="82" spans="4:5" ht="12.75">
      <c r="D82"/>
      <c r="E82"/>
    </row>
    <row r="83" spans="4:5" ht="12.75">
      <c r="D83"/>
      <c r="E83"/>
    </row>
    <row r="84" spans="4:5" ht="12.75">
      <c r="D84"/>
      <c r="E84"/>
    </row>
    <row r="85" spans="4:5" ht="12.75">
      <c r="D85"/>
      <c r="E85"/>
    </row>
    <row r="86" spans="4:5" ht="12.75">
      <c r="D86"/>
      <c r="E86"/>
    </row>
    <row r="87" spans="4:5" ht="12.75">
      <c r="D87"/>
      <c r="E87"/>
    </row>
    <row r="88" spans="4:5" ht="12.75">
      <c r="D88"/>
      <c r="E88"/>
    </row>
    <row r="89" spans="4:5" ht="12.75">
      <c r="D89"/>
      <c r="E89"/>
    </row>
    <row r="90" spans="4:5" ht="12.75">
      <c r="D90"/>
      <c r="E90"/>
    </row>
    <row r="91" spans="4:5" ht="12.75">
      <c r="D91"/>
      <c r="E91"/>
    </row>
    <row r="92" spans="4:5" ht="12.75">
      <c r="D92"/>
      <c r="E92"/>
    </row>
    <row r="93" spans="4:5" ht="12.75">
      <c r="D93"/>
      <c r="E93"/>
    </row>
    <row r="94" spans="4:5" ht="12.75">
      <c r="D94"/>
      <c r="E94"/>
    </row>
    <row r="95" spans="4:5" ht="12.75">
      <c r="D95"/>
      <c r="E95"/>
    </row>
    <row r="96" spans="4:5" ht="12.75">
      <c r="D96"/>
      <c r="E96"/>
    </row>
    <row r="97" spans="4:5" ht="12.75">
      <c r="D97"/>
      <c r="E97"/>
    </row>
    <row r="98" spans="4:5" ht="12.75">
      <c r="D98"/>
      <c r="E98"/>
    </row>
    <row r="99" spans="4:5" ht="12.75">
      <c r="D99"/>
      <c r="E99"/>
    </row>
    <row r="100" spans="4:5" ht="12.75">
      <c r="D100"/>
      <c r="E100"/>
    </row>
    <row r="101" spans="4:5" ht="12.75">
      <c r="D101"/>
      <c r="E101"/>
    </row>
    <row r="102" spans="4:5" ht="12.75">
      <c r="D102"/>
      <c r="E102"/>
    </row>
    <row r="103" spans="4:5" ht="12.75">
      <c r="D103"/>
      <c r="E103"/>
    </row>
    <row r="104" spans="4:5" ht="12.75">
      <c r="D104"/>
      <c r="E104"/>
    </row>
    <row r="105" spans="4:5" ht="12.75">
      <c r="D105"/>
      <c r="E105"/>
    </row>
    <row r="106" spans="4:5" ht="12.75">
      <c r="D106"/>
      <c r="E106"/>
    </row>
    <row r="107" spans="4:5" ht="12.75">
      <c r="D107"/>
      <c r="E107"/>
    </row>
    <row r="108" spans="4:5" ht="12.75">
      <c r="D108"/>
      <c r="E108"/>
    </row>
    <row r="109" spans="4:5" ht="12.75">
      <c r="D109"/>
      <c r="E109"/>
    </row>
    <row r="110" spans="4:5" ht="12.75">
      <c r="D110"/>
      <c r="E110"/>
    </row>
    <row r="111" spans="4:5" ht="12.75">
      <c r="D111"/>
      <c r="E111"/>
    </row>
    <row r="112" spans="4:5" ht="12.75">
      <c r="D112"/>
      <c r="E112"/>
    </row>
    <row r="113" spans="4:5" ht="12.75">
      <c r="D113"/>
      <c r="E113"/>
    </row>
    <row r="114" spans="4:5" ht="12.75">
      <c r="D114"/>
      <c r="E114"/>
    </row>
    <row r="115" spans="4:5" ht="12.75">
      <c r="D115"/>
      <c r="E115"/>
    </row>
    <row r="116" spans="4:5" ht="12.75">
      <c r="D116"/>
      <c r="E116"/>
    </row>
    <row r="117" spans="4:5" ht="12.75">
      <c r="D117"/>
      <c r="E117"/>
    </row>
    <row r="118" spans="4:5" ht="12.75">
      <c r="D118"/>
      <c r="E118"/>
    </row>
    <row r="119" spans="4:5" ht="12.75">
      <c r="D119"/>
      <c r="E119"/>
    </row>
    <row r="120" spans="4:5" ht="12.75">
      <c r="D120"/>
      <c r="E120"/>
    </row>
    <row r="121" spans="4:5" ht="12.75">
      <c r="D121"/>
      <c r="E121"/>
    </row>
    <row r="122" spans="4:5" ht="12.75">
      <c r="D122"/>
      <c r="E122"/>
    </row>
    <row r="123" spans="4:5" ht="12.75">
      <c r="D123"/>
      <c r="E123"/>
    </row>
    <row r="124" spans="4:5" ht="12.75">
      <c r="D124"/>
      <c r="E124"/>
    </row>
    <row r="125" spans="4:5" ht="12.75">
      <c r="D125"/>
      <c r="E125"/>
    </row>
    <row r="126" spans="4:5" ht="12.75">
      <c r="D126"/>
      <c r="E126"/>
    </row>
    <row r="127" spans="4:5" ht="12.75">
      <c r="D127"/>
      <c r="E127"/>
    </row>
    <row r="128" spans="4:5" ht="12.75">
      <c r="D128"/>
      <c r="E128"/>
    </row>
    <row r="129" spans="4:5" ht="12.75">
      <c r="D129"/>
      <c r="E129"/>
    </row>
    <row r="130" spans="4:5" ht="12.75">
      <c r="D130"/>
      <c r="E130"/>
    </row>
    <row r="131" spans="4:5" ht="12.75">
      <c r="D131"/>
      <c r="E131"/>
    </row>
    <row r="132" spans="4:5" ht="12.75">
      <c r="D132"/>
      <c r="E132"/>
    </row>
    <row r="133" spans="4:5" ht="12.75">
      <c r="D133"/>
      <c r="E133"/>
    </row>
    <row r="134" spans="4:5" ht="12.75">
      <c r="D134"/>
      <c r="E134"/>
    </row>
    <row r="135" spans="4:5" ht="12.75">
      <c r="D135"/>
      <c r="E135"/>
    </row>
    <row r="136" spans="4:5" ht="12.75">
      <c r="D136"/>
      <c r="E136"/>
    </row>
    <row r="137" spans="4:5" ht="12.75">
      <c r="D137"/>
      <c r="E137"/>
    </row>
    <row r="138" spans="4:5" ht="12.75">
      <c r="D138"/>
      <c r="E138"/>
    </row>
    <row r="139" spans="4:5" ht="12.75">
      <c r="D139"/>
      <c r="E139"/>
    </row>
    <row r="140" spans="4:5" ht="12.75">
      <c r="D140"/>
      <c r="E140"/>
    </row>
    <row r="141" spans="4:5" ht="12.75">
      <c r="D141"/>
      <c r="E141"/>
    </row>
    <row r="142" spans="4:5" ht="12.75">
      <c r="D142"/>
      <c r="E142"/>
    </row>
    <row r="143" spans="4:5" ht="12.75">
      <c r="D143"/>
      <c r="E143"/>
    </row>
    <row r="144" spans="4:5" ht="12.75">
      <c r="D144"/>
      <c r="E144"/>
    </row>
    <row r="145" spans="4:5" ht="12.75">
      <c r="D145"/>
      <c r="E145"/>
    </row>
    <row r="146" spans="4:5" ht="12.75">
      <c r="D146"/>
      <c r="E146"/>
    </row>
    <row r="147" spans="4:5" ht="12.75">
      <c r="D147"/>
      <c r="E147"/>
    </row>
    <row r="148" spans="4:5" ht="12.75">
      <c r="D148"/>
      <c r="E148"/>
    </row>
    <row r="149" spans="4:5" ht="12.75">
      <c r="D149"/>
      <c r="E149"/>
    </row>
    <row r="150" spans="4:5" ht="12.75">
      <c r="D150"/>
      <c r="E150"/>
    </row>
    <row r="151" spans="4:5" ht="12.75">
      <c r="D151"/>
      <c r="E151"/>
    </row>
    <row r="152" spans="4:5" ht="12.75">
      <c r="D152"/>
      <c r="E152"/>
    </row>
    <row r="153" spans="4:5" ht="12.75">
      <c r="D153"/>
      <c r="E153"/>
    </row>
    <row r="154" spans="4:5" ht="12.75">
      <c r="D154"/>
      <c r="E154"/>
    </row>
    <row r="155" spans="4:5" ht="12.75">
      <c r="D155"/>
      <c r="E155"/>
    </row>
    <row r="156" ht="12.75">
      <c r="D156"/>
    </row>
    <row r="157" spans="4:5" ht="12.75">
      <c r="D157"/>
      <c r="E157" s="15"/>
    </row>
  </sheetData>
  <sheetProtection/>
  <printOptions/>
  <pageMargins left="0.75" right="0" top="0.5" bottom="0" header="0" footer="0"/>
  <pageSetup horizontalDpi="600" verticalDpi="600" orientation="portrait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157"/>
  <sheetViews>
    <sheetView zoomScalePageLayoutView="0" workbookViewId="0" topLeftCell="A1">
      <selection activeCell="A4" sqref="A4"/>
    </sheetView>
  </sheetViews>
  <sheetFormatPr defaultColWidth="8.8515625" defaultRowHeight="12.75"/>
  <cols>
    <col min="1" max="1" width="21.7109375" style="0" customWidth="1"/>
    <col min="2" max="3" width="9.28125" style="0" bestFit="1" customWidth="1"/>
    <col min="4" max="4" width="9.7109375" style="1" bestFit="1" customWidth="1"/>
    <col min="5" max="5" width="10.7109375" style="1" bestFit="1" customWidth="1"/>
    <col min="6" max="8" width="13.00390625" style="0" customWidth="1"/>
  </cols>
  <sheetData>
    <row r="1" spans="1:11" ht="15">
      <c r="A1" s="2" t="s">
        <v>100</v>
      </c>
      <c r="G1" s="3" t="s">
        <v>101</v>
      </c>
      <c r="H1" s="4"/>
      <c r="I1" s="5"/>
      <c r="J1" s="1"/>
      <c r="K1" s="1"/>
    </row>
    <row r="2" spans="1:11" ht="12.75">
      <c r="A2" s="6"/>
      <c r="I2" s="1"/>
      <c r="J2" s="1"/>
      <c r="K2" s="1"/>
    </row>
    <row r="3" spans="1:11" ht="12.75">
      <c r="A3" s="6" t="s">
        <v>117</v>
      </c>
      <c r="B3">
        <v>5</v>
      </c>
      <c r="D3" s="7" t="s">
        <v>104</v>
      </c>
      <c r="E3" s="8">
        <v>18</v>
      </c>
      <c r="F3" s="6" t="str">
        <f>A3</f>
        <v>No. of units</v>
      </c>
      <c r="G3">
        <f>B3</f>
        <v>5</v>
      </c>
      <c r="J3" s="7" t="s">
        <v>104</v>
      </c>
      <c r="K3" s="8">
        <f>E3</f>
        <v>18</v>
      </c>
    </row>
    <row r="4" spans="1:11" ht="12.75">
      <c r="A4" s="9" t="s">
        <v>107</v>
      </c>
      <c r="E4" s="10" t="s">
        <v>108</v>
      </c>
      <c r="I4" s="1"/>
      <c r="J4" s="1"/>
      <c r="K4" s="1"/>
    </row>
    <row r="5" spans="1:11" ht="12.75">
      <c r="A5" s="13"/>
      <c r="B5" s="13"/>
      <c r="C5" s="14"/>
      <c r="D5" s="15" t="s">
        <v>110</v>
      </c>
      <c r="E5" s="15"/>
      <c r="F5" s="13" t="s">
        <v>102</v>
      </c>
      <c r="I5" s="1"/>
      <c r="J5" s="1"/>
      <c r="K5" s="1" t="s">
        <v>103</v>
      </c>
    </row>
    <row r="6" spans="4:11" ht="12.75">
      <c r="D6" s="11" t="s">
        <v>113</v>
      </c>
      <c r="E6" s="11" t="s">
        <v>114</v>
      </c>
      <c r="F6" s="13"/>
      <c r="I6" s="1"/>
      <c r="J6" s="1" t="s">
        <v>105</v>
      </c>
      <c r="K6" s="1" t="s">
        <v>106</v>
      </c>
    </row>
    <row r="7" spans="1:11" ht="15">
      <c r="A7" s="17" t="s">
        <v>0</v>
      </c>
      <c r="C7" s="18" t="s">
        <v>1</v>
      </c>
      <c r="D7" s="19"/>
      <c r="E7" s="19"/>
      <c r="F7" s="13" t="s">
        <v>109</v>
      </c>
      <c r="I7" s="1"/>
      <c r="J7" s="11" t="s">
        <v>102</v>
      </c>
      <c r="K7" s="12" t="s">
        <v>102</v>
      </c>
    </row>
    <row r="8" spans="1:11" ht="12.75">
      <c r="A8" s="20" t="s">
        <v>18</v>
      </c>
      <c r="C8" s="24">
        <v>0.06</v>
      </c>
      <c r="D8" s="1">
        <v>0</v>
      </c>
      <c r="E8" s="19">
        <f>D8*$B$3</f>
        <v>0</v>
      </c>
      <c r="F8" s="6" t="s">
        <v>50</v>
      </c>
      <c r="G8" s="16" t="s">
        <v>111</v>
      </c>
      <c r="H8" t="s">
        <v>112</v>
      </c>
      <c r="I8" s="1"/>
      <c r="J8" s="1"/>
      <c r="K8" s="1"/>
    </row>
    <row r="9" spans="1:11" ht="12.75">
      <c r="A9" s="54" t="s">
        <v>116</v>
      </c>
      <c r="C9" s="21"/>
      <c r="D9" s="1">
        <v>120000</v>
      </c>
      <c r="E9" s="19">
        <f>D9*$B$3</f>
        <v>600000</v>
      </c>
      <c r="F9">
        <v>3</v>
      </c>
      <c r="G9">
        <f>$B$3</f>
        <v>5</v>
      </c>
      <c r="H9" s="3">
        <v>631</v>
      </c>
      <c r="I9" s="1"/>
      <c r="J9" s="1">
        <f>G9*H9</f>
        <v>3155</v>
      </c>
      <c r="K9" s="1">
        <f>J9*K3</f>
        <v>56790</v>
      </c>
    </row>
    <row r="10" spans="1:11" ht="12.75">
      <c r="A10" t="s">
        <v>52</v>
      </c>
      <c r="C10" s="21"/>
      <c r="D10" s="1">
        <v>0</v>
      </c>
      <c r="E10" s="19">
        <f>D10*$B$3</f>
        <v>0</v>
      </c>
      <c r="I10" s="1"/>
      <c r="J10" s="1"/>
      <c r="K10" s="1">
        <f>J10*$E$3</f>
        <v>0</v>
      </c>
    </row>
    <row r="11" spans="3:11" ht="12.75">
      <c r="C11" s="6" t="s">
        <v>6</v>
      </c>
      <c r="D11" s="1">
        <f>SUM(D8:D10)</f>
        <v>120000</v>
      </c>
      <c r="E11" s="19">
        <f>D11*$B$3</f>
        <v>600000</v>
      </c>
      <c r="I11" s="1"/>
      <c r="J11" s="1"/>
      <c r="K11" s="1">
        <f>J11*$E$3</f>
        <v>0</v>
      </c>
    </row>
    <row r="12" spans="5:11" ht="12.75">
      <c r="E12" s="7"/>
      <c r="I12" s="7" t="s">
        <v>53</v>
      </c>
      <c r="J12" s="1">
        <f>SUM(J9:J11)</f>
        <v>3155</v>
      </c>
      <c r="K12" s="1">
        <f>J12*$E$3</f>
        <v>56790</v>
      </c>
    </row>
    <row r="13" spans="1:11" ht="12.75">
      <c r="A13" s="17" t="s">
        <v>9</v>
      </c>
      <c r="I13" s="7"/>
      <c r="J13" s="1"/>
      <c r="K13" s="1"/>
    </row>
    <row r="14" spans="1:11" ht="12.75">
      <c r="A14" s="20" t="s">
        <v>18</v>
      </c>
      <c r="C14" s="24">
        <v>0.06</v>
      </c>
      <c r="D14" s="1">
        <v>70000</v>
      </c>
      <c r="E14" s="19">
        <f>D14*$B$3</f>
        <v>350000</v>
      </c>
      <c r="I14" s="7" t="s">
        <v>54</v>
      </c>
      <c r="J14" s="1">
        <f>J9*-0.075</f>
        <v>-236.625</v>
      </c>
      <c r="K14" s="1">
        <f>J14*$E$3</f>
        <v>-4259.25</v>
      </c>
    </row>
    <row r="15" spans="1:11" ht="12.75">
      <c r="A15" t="str">
        <f>A9</f>
        <v>NSP</v>
      </c>
      <c r="C15" s="21"/>
      <c r="D15" s="8">
        <v>50000</v>
      </c>
      <c r="E15" s="19">
        <f>D15*$B$3</f>
        <v>250000</v>
      </c>
      <c r="I15" s="7"/>
      <c r="J15" s="1"/>
      <c r="K15" s="1"/>
    </row>
    <row r="16" spans="1:11" ht="12.75">
      <c r="A16" t="s">
        <v>4</v>
      </c>
      <c r="C16" s="21"/>
      <c r="D16" s="1">
        <v>0</v>
      </c>
      <c r="E16" s="19">
        <f>D16*$B$3</f>
        <v>0</v>
      </c>
      <c r="I16" s="7" t="s">
        <v>46</v>
      </c>
      <c r="J16" s="1">
        <f>SUM(J12:J14)</f>
        <v>2918.375</v>
      </c>
      <c r="K16" s="1">
        <f>J16*$E$3</f>
        <v>52530.75</v>
      </c>
    </row>
    <row r="17" spans="3:11" ht="12.75">
      <c r="C17" s="6" t="s">
        <v>6</v>
      </c>
      <c r="D17" s="1">
        <f>SUM(D14:D16)</f>
        <v>120000</v>
      </c>
      <c r="E17" s="19">
        <f>D17*$B$3</f>
        <v>600000</v>
      </c>
      <c r="F17" s="13" t="s">
        <v>55</v>
      </c>
      <c r="I17" s="1"/>
      <c r="J17" s="1"/>
      <c r="K17" s="1"/>
    </row>
    <row r="18" spans="1:11" ht="12.75">
      <c r="A18" s="9" t="s">
        <v>17</v>
      </c>
      <c r="F18" s="43" t="s">
        <v>56</v>
      </c>
      <c r="I18" s="1"/>
      <c r="J18" s="1"/>
      <c r="K18" s="1"/>
    </row>
    <row r="19" spans="4:11" ht="12.75">
      <c r="D19" s="11" t="s">
        <v>93</v>
      </c>
      <c r="E19" s="11" t="s">
        <v>94</v>
      </c>
      <c r="I19" s="1"/>
      <c r="J19" s="1"/>
      <c r="K19" s="1"/>
    </row>
    <row r="20" spans="1:11" ht="12.75">
      <c r="A20" s="44" t="s">
        <v>57</v>
      </c>
      <c r="B20" s="27"/>
      <c r="C20" s="27"/>
      <c r="D20" s="19"/>
      <c r="E20" s="19"/>
      <c r="I20" s="7" t="s">
        <v>46</v>
      </c>
      <c r="J20" s="1">
        <f>SUM(J18:J19)</f>
        <v>0</v>
      </c>
      <c r="K20" s="1">
        <f>J20*$E$3</f>
        <v>0</v>
      </c>
    </row>
    <row r="21" spans="1:11" ht="12.75">
      <c r="A21" s="27" t="s">
        <v>58</v>
      </c>
      <c r="B21" s="27"/>
      <c r="C21" s="27"/>
      <c r="D21" s="19">
        <v>0</v>
      </c>
      <c r="E21" s="19">
        <f>D21*$B$3</f>
        <v>0</v>
      </c>
      <c r="I21" s="1"/>
      <c r="J21" s="1"/>
      <c r="K21" s="1"/>
    </row>
    <row r="22" spans="1:11" ht="12.75">
      <c r="A22" s="27"/>
      <c r="B22" s="27"/>
      <c r="C22" s="27"/>
      <c r="D22" s="19">
        <v>0</v>
      </c>
      <c r="E22" s="19">
        <f>D22*$B$3</f>
        <v>0</v>
      </c>
      <c r="I22" s="7" t="s">
        <v>2</v>
      </c>
      <c r="J22" s="1">
        <f>J16+J20</f>
        <v>2918.375</v>
      </c>
      <c r="K22" s="1">
        <f>J22*$E$3</f>
        <v>52530.75</v>
      </c>
    </row>
    <row r="23" spans="1:11" ht="12.75">
      <c r="A23" s="27"/>
      <c r="B23" s="27"/>
      <c r="C23" s="28" t="s">
        <v>59</v>
      </c>
      <c r="D23" s="19">
        <f>SUM(D21:D22)</f>
        <v>0</v>
      </c>
      <c r="E23" s="19">
        <f>D23*$B$3</f>
        <v>0</v>
      </c>
      <c r="I23" s="1"/>
      <c r="J23" s="1"/>
      <c r="K23" s="1"/>
    </row>
    <row r="24" spans="4:11" ht="12.75">
      <c r="D24" s="11"/>
      <c r="E24" s="11"/>
      <c r="F24" s="45" t="s">
        <v>3</v>
      </c>
      <c r="I24" s="1"/>
      <c r="J24" s="1"/>
      <c r="K24" s="1" t="s">
        <v>103</v>
      </c>
    </row>
    <row r="25" spans="1:11" ht="12.75">
      <c r="A25" s="17" t="s">
        <v>60</v>
      </c>
      <c r="I25" s="1" t="s">
        <v>5</v>
      </c>
      <c r="J25" s="22" t="s">
        <v>105</v>
      </c>
      <c r="K25" s="1" t="s">
        <v>106</v>
      </c>
    </row>
    <row r="26" spans="6:11" ht="12.75">
      <c r="F26" s="17" t="s">
        <v>7</v>
      </c>
      <c r="I26" s="1" t="s">
        <v>8</v>
      </c>
      <c r="J26" s="23" t="s">
        <v>3</v>
      </c>
      <c r="K26" s="23" t="s">
        <v>3</v>
      </c>
    </row>
    <row r="27" spans="1:11" ht="12.75">
      <c r="A27" s="27" t="s">
        <v>61</v>
      </c>
      <c r="B27" s="27"/>
      <c r="C27" s="27"/>
      <c r="D27" s="19">
        <v>59000</v>
      </c>
      <c r="E27" s="19">
        <f>D27*$B$3</f>
        <v>295000</v>
      </c>
      <c r="I27" s="1"/>
      <c r="J27" s="1"/>
      <c r="K27" s="1"/>
    </row>
    <row r="28" spans="1:11" ht="12.75">
      <c r="A28" s="27" t="s">
        <v>62</v>
      </c>
      <c r="B28" s="27"/>
      <c r="C28" s="27"/>
      <c r="D28" s="19">
        <v>0</v>
      </c>
      <c r="E28" s="19">
        <f>D28*$B$3</f>
        <v>0</v>
      </c>
      <c r="F28" t="s">
        <v>95</v>
      </c>
      <c r="G28" s="16"/>
      <c r="I28" s="1">
        <v>0</v>
      </c>
      <c r="J28" s="1">
        <v>0</v>
      </c>
      <c r="K28" s="1">
        <f aca="true" t="shared" si="0" ref="K28:K35">J28*$E$3</f>
        <v>0</v>
      </c>
    </row>
    <row r="29" spans="1:11" ht="12.75">
      <c r="A29" s="27" t="s">
        <v>63</v>
      </c>
      <c r="B29" s="27"/>
      <c r="C29" s="27"/>
      <c r="D29" s="19">
        <v>2000</v>
      </c>
      <c r="E29" s="19">
        <f>D29*$B$3</f>
        <v>10000</v>
      </c>
      <c r="F29" t="s">
        <v>96</v>
      </c>
      <c r="I29" s="1">
        <v>100</v>
      </c>
      <c r="J29" s="1">
        <v>625</v>
      </c>
      <c r="K29" s="1">
        <f t="shared" si="0"/>
        <v>11250</v>
      </c>
    </row>
    <row r="30" spans="1:11" ht="12.75">
      <c r="A30" s="27"/>
      <c r="B30" s="27"/>
      <c r="C30" s="28" t="s">
        <v>20</v>
      </c>
      <c r="D30" s="29">
        <f>SUM(D27:D29)</f>
        <v>61000</v>
      </c>
      <c r="E30" s="19">
        <f>D30*$B$3</f>
        <v>305000</v>
      </c>
      <c r="F30" t="s">
        <v>43</v>
      </c>
      <c r="I30" s="1">
        <v>60</v>
      </c>
      <c r="J30" s="1">
        <f>I30*$B$3</f>
        <v>300</v>
      </c>
      <c r="K30" s="1">
        <f t="shared" si="0"/>
        <v>5400</v>
      </c>
    </row>
    <row r="31" spans="1:11" ht="12.75">
      <c r="A31" s="17" t="s">
        <v>64</v>
      </c>
      <c r="F31" t="s">
        <v>97</v>
      </c>
      <c r="I31" s="1">
        <v>50</v>
      </c>
      <c r="J31" s="1">
        <f>I31*$B$3</f>
        <v>250</v>
      </c>
      <c r="K31" s="1">
        <f t="shared" si="0"/>
        <v>4500</v>
      </c>
    </row>
    <row r="32" spans="6:11" ht="12.75">
      <c r="F32" t="s">
        <v>98</v>
      </c>
      <c r="I32" s="1">
        <v>0</v>
      </c>
      <c r="J32" s="1">
        <f>I32*$B$3</f>
        <v>0</v>
      </c>
      <c r="K32" s="1">
        <f t="shared" si="0"/>
        <v>0</v>
      </c>
    </row>
    <row r="33" spans="1:11" ht="12.75">
      <c r="A33" s="27" t="s">
        <v>65</v>
      </c>
      <c r="B33" s="27"/>
      <c r="C33" s="27"/>
      <c r="D33" s="19"/>
      <c r="E33" s="19">
        <f>D33*$B$3</f>
        <v>0</v>
      </c>
      <c r="F33" t="s">
        <v>10</v>
      </c>
      <c r="I33" s="1">
        <v>0</v>
      </c>
      <c r="J33" s="1">
        <f>I33*$B$3</f>
        <v>0</v>
      </c>
      <c r="K33" s="1">
        <f t="shared" si="0"/>
        <v>0</v>
      </c>
    </row>
    <row r="34" spans="1:11" ht="12.75">
      <c r="A34" s="27" t="s">
        <v>66</v>
      </c>
      <c r="B34" s="27"/>
      <c r="C34" s="27"/>
      <c r="D34" s="19">
        <v>40000</v>
      </c>
      <c r="E34" s="19">
        <f>D34*$B$3</f>
        <v>200000</v>
      </c>
      <c r="H34" s="7" t="s">
        <v>11</v>
      </c>
      <c r="I34" s="25">
        <f>SUM(I28:I33)</f>
        <v>210</v>
      </c>
      <c r="J34" s="1">
        <f>SUM(J28:J33)</f>
        <v>1175</v>
      </c>
      <c r="K34" s="1">
        <f t="shared" si="0"/>
        <v>21150</v>
      </c>
    </row>
    <row r="35" spans="1:11" ht="12.75">
      <c r="A35" s="27" t="s">
        <v>67</v>
      </c>
      <c r="B35" s="28" t="s">
        <v>68</v>
      </c>
      <c r="C35" s="46">
        <v>0.1</v>
      </c>
      <c r="D35" s="19">
        <f>D34*C35</f>
        <v>4000</v>
      </c>
      <c r="E35" s="19">
        <f>D35*$B$3</f>
        <v>20000</v>
      </c>
      <c r="H35" s="7" t="s">
        <v>12</v>
      </c>
      <c r="I35" s="1">
        <f>J35/8</f>
        <v>217.921875</v>
      </c>
      <c r="J35" s="1">
        <f>J22-J34</f>
        <v>1743.375</v>
      </c>
      <c r="K35" s="1">
        <f t="shared" si="0"/>
        <v>31380.75</v>
      </c>
    </row>
    <row r="36" spans="1:11" ht="12.75">
      <c r="A36" s="27" t="s">
        <v>69</v>
      </c>
      <c r="B36" s="27"/>
      <c r="C36" s="27"/>
      <c r="D36" s="19"/>
      <c r="E36" s="19">
        <f>D36*$B$3</f>
        <v>0</v>
      </c>
      <c r="I36" s="1"/>
      <c r="J36" s="1"/>
      <c r="K36" s="1"/>
    </row>
    <row r="37" spans="1:11" ht="12.75">
      <c r="A37" s="27"/>
      <c r="B37" s="27"/>
      <c r="C37" s="28" t="s">
        <v>23</v>
      </c>
      <c r="D37" s="29">
        <f>SUM(D33:D36)</f>
        <v>44000</v>
      </c>
      <c r="E37" s="19">
        <f>D37*$B$3</f>
        <v>220000</v>
      </c>
      <c r="F37" s="9" t="s">
        <v>13</v>
      </c>
      <c r="I37" s="1"/>
      <c r="J37" s="1"/>
      <c r="K37" s="1"/>
    </row>
    <row r="38" spans="1:11" ht="12.75">
      <c r="A38" s="17" t="s">
        <v>70</v>
      </c>
      <c r="I38" s="1"/>
      <c r="J38" s="1"/>
      <c r="K38" s="1"/>
    </row>
    <row r="39" spans="6:11" ht="12.75">
      <c r="F39" s="17" t="s">
        <v>14</v>
      </c>
      <c r="G39" t="s">
        <v>15</v>
      </c>
      <c r="H39" s="14" t="s">
        <v>16</v>
      </c>
      <c r="I39" s="15"/>
      <c r="J39" s="1"/>
      <c r="K39" s="1"/>
    </row>
    <row r="40" spans="1:11" ht="12.75">
      <c r="A40" s="43" t="s">
        <v>71</v>
      </c>
      <c r="F40" t="s">
        <v>18</v>
      </c>
      <c r="G40" s="26">
        <f>D14</f>
        <v>70000</v>
      </c>
      <c r="H40" s="47">
        <f>C14</f>
        <v>0.06</v>
      </c>
      <c r="I40" s="1">
        <f>PMT(H40/12,I52*12,G40)*(-1)</f>
        <v>419.68536760693127</v>
      </c>
      <c r="J40" s="1">
        <f>I40*B3</f>
        <v>2098.426838034656</v>
      </c>
      <c r="K40" s="1">
        <f>J40*12</f>
        <v>25181.122056415872</v>
      </c>
    </row>
    <row r="41" spans="1:11" ht="12.75">
      <c r="A41" s="27" t="s">
        <v>72</v>
      </c>
      <c r="B41" s="27"/>
      <c r="C41" s="27"/>
      <c r="D41" s="19">
        <v>0</v>
      </c>
      <c r="E41" s="19">
        <f aca="true" t="shared" si="1" ref="E41:E46">D41*$B$3</f>
        <v>0</v>
      </c>
      <c r="I41" s="48"/>
      <c r="J41" s="1"/>
      <c r="K41" s="1"/>
    </row>
    <row r="42" spans="1:11" ht="12.75">
      <c r="A42" s="27" t="s">
        <v>73</v>
      </c>
      <c r="B42" s="28" t="s">
        <v>68</v>
      </c>
      <c r="C42" s="46"/>
      <c r="D42" s="19">
        <v>10000</v>
      </c>
      <c r="E42" s="19">
        <f t="shared" si="1"/>
        <v>50000</v>
      </c>
      <c r="I42" s="1"/>
      <c r="J42" s="1"/>
      <c r="K42" s="1"/>
    </row>
    <row r="43" spans="1:11" ht="12.75">
      <c r="A43" s="27" t="s">
        <v>74</v>
      </c>
      <c r="B43" s="27"/>
      <c r="C43" s="27"/>
      <c r="D43" s="19">
        <v>0</v>
      </c>
      <c r="E43" s="19">
        <f t="shared" si="1"/>
        <v>0</v>
      </c>
      <c r="I43" s="7" t="s">
        <v>19</v>
      </c>
      <c r="J43" s="1">
        <f>SUM(J40:J42)</f>
        <v>2098.426838034656</v>
      </c>
      <c r="K43" s="1">
        <f>J43*12</f>
        <v>25181.122056415872</v>
      </c>
    </row>
    <row r="44" spans="1:11" ht="13.5" thickBot="1">
      <c r="A44" s="27" t="s">
        <v>75</v>
      </c>
      <c r="B44" s="27"/>
      <c r="C44" s="27"/>
      <c r="D44" s="19">
        <v>0</v>
      </c>
      <c r="E44" s="19">
        <f t="shared" si="1"/>
        <v>0</v>
      </c>
      <c r="H44" s="30" t="s">
        <v>21</v>
      </c>
      <c r="I44" s="25">
        <f>J44/8</f>
        <v>-44.38147975433202</v>
      </c>
      <c r="J44" s="1">
        <f>J35-J43</f>
        <v>-355.05183803465616</v>
      </c>
      <c r="K44" s="1">
        <f>J44*$E$3</f>
        <v>-6390.933084623811</v>
      </c>
    </row>
    <row r="45" spans="1:11" ht="12.75">
      <c r="A45" s="27" t="s">
        <v>76</v>
      </c>
      <c r="B45" s="27"/>
      <c r="C45" s="27"/>
      <c r="D45" s="19">
        <v>0</v>
      </c>
      <c r="E45" s="19">
        <f t="shared" si="1"/>
        <v>0</v>
      </c>
      <c r="F45" s="49"/>
      <c r="G45" s="31" t="s">
        <v>22</v>
      </c>
      <c r="H45" s="31"/>
      <c r="I45" s="32"/>
      <c r="J45" s="33"/>
      <c r="K45" s="33"/>
    </row>
    <row r="46" spans="2:11" ht="12.75">
      <c r="B46" s="27"/>
      <c r="C46" s="28" t="s">
        <v>77</v>
      </c>
      <c r="D46" s="19">
        <f>SUM(D41:D45)</f>
        <v>10000</v>
      </c>
      <c r="E46" s="19">
        <f t="shared" si="1"/>
        <v>50000</v>
      </c>
      <c r="I46" s="1"/>
      <c r="J46" s="1"/>
      <c r="K46" s="1"/>
    </row>
    <row r="47" spans="1:11" ht="25.5">
      <c r="A47" s="43" t="s">
        <v>78</v>
      </c>
      <c r="B47" s="50" t="s">
        <v>79</v>
      </c>
      <c r="C47" s="50" t="s">
        <v>80</v>
      </c>
      <c r="F47" t="s">
        <v>107</v>
      </c>
      <c r="I47" s="1"/>
      <c r="J47" s="1"/>
      <c r="K47" s="1"/>
    </row>
    <row r="48" spans="1:11" ht="12.75">
      <c r="A48" s="27" t="s">
        <v>81</v>
      </c>
      <c r="B48" s="27">
        <v>100</v>
      </c>
      <c r="C48" s="51">
        <v>5</v>
      </c>
      <c r="D48" s="19">
        <f aca="true" t="shared" si="2" ref="D48:D53">B48*C48</f>
        <v>500</v>
      </c>
      <c r="E48" s="19">
        <f aca="true" t="shared" si="3" ref="E48:E54">D48*$B$3</f>
        <v>2500</v>
      </c>
      <c r="I48" s="1"/>
      <c r="J48" s="1"/>
      <c r="K48" s="1"/>
    </row>
    <row r="49" spans="1:11" ht="12.75">
      <c r="A49" s="27" t="s">
        <v>45</v>
      </c>
      <c r="B49" s="27">
        <v>0</v>
      </c>
      <c r="C49" s="27">
        <v>5</v>
      </c>
      <c r="D49" s="19">
        <f t="shared" si="2"/>
        <v>0</v>
      </c>
      <c r="E49" s="19">
        <f t="shared" si="3"/>
        <v>0</v>
      </c>
      <c r="F49" s="17" t="s">
        <v>24</v>
      </c>
      <c r="H49" s="34" t="s">
        <v>25</v>
      </c>
      <c r="I49" s="15"/>
      <c r="J49" s="1"/>
      <c r="K49" s="11" t="s">
        <v>15</v>
      </c>
    </row>
    <row r="50" spans="1:11" ht="12.75">
      <c r="A50" s="27" t="s">
        <v>82</v>
      </c>
      <c r="B50" s="27">
        <v>125</v>
      </c>
      <c r="C50" s="27">
        <v>5</v>
      </c>
      <c r="D50" s="19">
        <f t="shared" si="2"/>
        <v>625</v>
      </c>
      <c r="E50" s="19">
        <f t="shared" si="3"/>
        <v>3125</v>
      </c>
      <c r="I50" s="1"/>
      <c r="J50" s="1"/>
      <c r="K50" s="1"/>
    </row>
    <row r="51" spans="1:11" ht="12.75">
      <c r="A51" s="27" t="s">
        <v>83</v>
      </c>
      <c r="B51" s="27">
        <v>0</v>
      </c>
      <c r="C51" s="27">
        <v>5</v>
      </c>
      <c r="D51" s="19">
        <f t="shared" si="2"/>
        <v>0</v>
      </c>
      <c r="E51" s="19">
        <f t="shared" si="3"/>
        <v>0</v>
      </c>
      <c r="F51" t="s">
        <v>27</v>
      </c>
      <c r="I51" s="1"/>
      <c r="J51" s="1"/>
      <c r="K51" s="1">
        <v>2090</v>
      </c>
    </row>
    <row r="52" spans="1:11" ht="12.75">
      <c r="A52" s="27" t="s">
        <v>84</v>
      </c>
      <c r="B52" s="27">
        <f>750/12</f>
        <v>62.5</v>
      </c>
      <c r="C52" s="27">
        <v>5</v>
      </c>
      <c r="D52" s="19">
        <f t="shared" si="2"/>
        <v>312.5</v>
      </c>
      <c r="E52" s="19">
        <f t="shared" si="3"/>
        <v>1562.5</v>
      </c>
      <c r="F52" t="s">
        <v>29</v>
      </c>
      <c r="H52" s="47">
        <v>0.06</v>
      </c>
      <c r="I52" s="1">
        <v>30</v>
      </c>
      <c r="J52" s="1"/>
      <c r="K52" s="8">
        <v>70410</v>
      </c>
    </row>
    <row r="53" spans="1:11" ht="12.75">
      <c r="A53" s="27" t="s">
        <v>85</v>
      </c>
      <c r="B53" s="19">
        <f>C8/12*D8</f>
        <v>0</v>
      </c>
      <c r="C53" s="27">
        <v>5</v>
      </c>
      <c r="D53" s="19">
        <f t="shared" si="2"/>
        <v>0</v>
      </c>
      <c r="E53" s="19">
        <f t="shared" si="3"/>
        <v>0</v>
      </c>
      <c r="F53" s="52" t="s">
        <v>30</v>
      </c>
      <c r="H53" s="42">
        <v>0</v>
      </c>
      <c r="I53" s="1" t="s">
        <v>115</v>
      </c>
      <c r="J53" s="1"/>
      <c r="K53" s="1">
        <v>40000</v>
      </c>
    </row>
    <row r="54" spans="1:11" ht="12.75">
      <c r="A54" s="27"/>
      <c r="B54" s="27"/>
      <c r="C54" s="28" t="s">
        <v>77</v>
      </c>
      <c r="D54" s="19">
        <f>SUM(D48:D53)</f>
        <v>1437.5</v>
      </c>
      <c r="E54" s="19">
        <f t="shared" si="3"/>
        <v>7187.5</v>
      </c>
      <c r="F54" t="s">
        <v>86</v>
      </c>
      <c r="I54" s="1"/>
      <c r="J54" s="1"/>
      <c r="K54" s="1">
        <v>0</v>
      </c>
    </row>
    <row r="55" spans="1:11" ht="12.75">
      <c r="A55" s="43" t="s">
        <v>87</v>
      </c>
      <c r="I55" s="1"/>
      <c r="J55" s="1" t="s">
        <v>31</v>
      </c>
      <c r="K55" s="1">
        <f>SUM(K51:K54)</f>
        <v>112500</v>
      </c>
    </row>
    <row r="56" spans="1:11" ht="12.75">
      <c r="A56" s="27" t="s">
        <v>88</v>
      </c>
      <c r="B56" s="27"/>
      <c r="C56" s="27"/>
      <c r="D56" s="28">
        <v>0</v>
      </c>
      <c r="E56" s="19">
        <f aca="true" t="shared" si="4" ref="E56:E61">D56*$B$3</f>
        <v>0</v>
      </c>
      <c r="I56" s="1"/>
      <c r="J56" s="1"/>
      <c r="K56" s="1"/>
    </row>
    <row r="57" spans="1:11" ht="12.75">
      <c r="A57" s="27" t="s">
        <v>89</v>
      </c>
      <c r="B57" s="27"/>
      <c r="C57" s="27"/>
      <c r="D57" s="28">
        <v>0</v>
      </c>
      <c r="E57" s="19">
        <f t="shared" si="4"/>
        <v>0</v>
      </c>
      <c r="F57" t="s">
        <v>32</v>
      </c>
      <c r="I57" s="1"/>
      <c r="J57" s="1"/>
      <c r="K57" s="1"/>
    </row>
    <row r="58" spans="1:11" ht="12.75">
      <c r="A58" s="27" t="s">
        <v>90</v>
      </c>
      <c r="B58" s="27"/>
      <c r="C58" s="27"/>
      <c r="D58" s="28">
        <v>0</v>
      </c>
      <c r="E58" s="19">
        <f t="shared" si="4"/>
        <v>0</v>
      </c>
      <c r="I58" s="1"/>
      <c r="J58" s="1"/>
      <c r="K58" s="1"/>
    </row>
    <row r="59" spans="1:11" ht="12.75">
      <c r="A59" s="27" t="s">
        <v>91</v>
      </c>
      <c r="B59" s="27"/>
      <c r="C59" s="27"/>
      <c r="D59" s="28">
        <v>0</v>
      </c>
      <c r="E59" s="19">
        <f t="shared" si="4"/>
        <v>0</v>
      </c>
      <c r="F59" t="s">
        <v>33</v>
      </c>
      <c r="I59" s="1"/>
      <c r="J59" s="1"/>
      <c r="K59" s="1">
        <v>110000</v>
      </c>
    </row>
    <row r="60" spans="1:11" ht="12.75">
      <c r="A60" s="27" t="s">
        <v>92</v>
      </c>
      <c r="B60" s="27"/>
      <c r="C60" s="27"/>
      <c r="D60" s="28">
        <v>0</v>
      </c>
      <c r="E60" s="19">
        <f t="shared" si="4"/>
        <v>0</v>
      </c>
      <c r="F60" t="s">
        <v>35</v>
      </c>
      <c r="I60" s="1"/>
      <c r="J60" s="1"/>
      <c r="K60" s="1">
        <v>2500</v>
      </c>
    </row>
    <row r="61" spans="1:11" ht="12.75">
      <c r="A61" s="27"/>
      <c r="B61" s="27"/>
      <c r="C61" s="28" t="s">
        <v>77</v>
      </c>
      <c r="D61" s="19">
        <f>5000-D54</f>
        <v>3562.5</v>
      </c>
      <c r="E61" s="19">
        <f t="shared" si="4"/>
        <v>17812.5</v>
      </c>
      <c r="F61" t="s">
        <v>36</v>
      </c>
      <c r="I61" s="1"/>
      <c r="J61" s="1"/>
      <c r="K61" s="1">
        <v>0</v>
      </c>
    </row>
    <row r="62" spans="1:11" ht="13.5" thickBot="1">
      <c r="A62" s="35"/>
      <c r="B62" s="35"/>
      <c r="C62" s="36" t="s">
        <v>26</v>
      </c>
      <c r="D62" s="41">
        <f>D46+D54+D61</f>
        <v>15000</v>
      </c>
      <c r="E62" s="19"/>
      <c r="I62" s="1"/>
      <c r="J62" s="1"/>
      <c r="K62" s="1"/>
    </row>
    <row r="63" spans="1:11" ht="13.5" thickTop="1">
      <c r="A63" s="37"/>
      <c r="B63" s="37"/>
      <c r="C63" s="38" t="s">
        <v>28</v>
      </c>
      <c r="D63" s="39">
        <f>D23+D30+D37+D62</f>
        <v>120000</v>
      </c>
      <c r="E63" s="40">
        <f>D63*$B$3</f>
        <v>600000</v>
      </c>
      <c r="I63" s="1"/>
      <c r="J63" s="1" t="s">
        <v>31</v>
      </c>
      <c r="K63" s="1">
        <f>SUM(K59:K62)</f>
        <v>112500</v>
      </c>
    </row>
    <row r="64" spans="1:11" ht="12.75">
      <c r="A64" t="s">
        <v>99</v>
      </c>
      <c r="D64" s="53">
        <v>0</v>
      </c>
      <c r="E64" s="53">
        <f>D64*B3</f>
        <v>0</v>
      </c>
      <c r="I64" s="1"/>
      <c r="J64" s="1"/>
      <c r="K64" s="1"/>
    </row>
    <row r="65" spans="4:11" ht="12.75">
      <c r="D65" s="1">
        <f>SUM(D63:D64)</f>
        <v>120000</v>
      </c>
      <c r="E65" s="1">
        <f>SUM(E63:E64)</f>
        <v>600000</v>
      </c>
      <c r="F65" s="9" t="s">
        <v>38</v>
      </c>
      <c r="I65" s="1"/>
      <c r="J65" s="1"/>
      <c r="K65" s="1"/>
    </row>
    <row r="66" spans="4:11" ht="12.75">
      <c r="D66"/>
      <c r="E66"/>
      <c r="I66" s="1"/>
      <c r="J66" s="1"/>
      <c r="K66" s="1"/>
    </row>
    <row r="67" spans="1:11" ht="12.75">
      <c r="A67" s="9"/>
      <c r="B67" s="9" t="s">
        <v>34</v>
      </c>
      <c r="C67" s="9"/>
      <c r="D67" s="9"/>
      <c r="E67" s="9"/>
      <c r="I67" s="1"/>
      <c r="J67" s="11" t="s">
        <v>105</v>
      </c>
      <c r="K67" s="11" t="s">
        <v>40</v>
      </c>
    </row>
    <row r="68" spans="1:11" ht="12.75">
      <c r="A68" s="9" t="s">
        <v>37</v>
      </c>
      <c r="B68" s="9"/>
      <c r="C68" s="9"/>
      <c r="D68" s="9"/>
      <c r="E68" s="55">
        <f>K72/0.3</f>
        <v>23285.7409904023</v>
      </c>
      <c r="F68" t="s">
        <v>41</v>
      </c>
      <c r="I68" s="1"/>
      <c r="J68" s="1">
        <v>100</v>
      </c>
      <c r="K68" s="1">
        <f>J68*12</f>
        <v>1200</v>
      </c>
    </row>
    <row r="69" spans="1:11" ht="12.75">
      <c r="A69" s="9" t="s">
        <v>39</v>
      </c>
      <c r="B69" s="9"/>
      <c r="C69" s="9"/>
      <c r="D69" s="9"/>
      <c r="E69" s="56">
        <f>E68/E70</f>
        <v>0.3861648588789768</v>
      </c>
      <c r="F69" t="s">
        <v>43</v>
      </c>
      <c r="I69" s="1"/>
      <c r="J69" s="1">
        <v>60</v>
      </c>
      <c r="K69" s="1">
        <f>J69*12</f>
        <v>720</v>
      </c>
    </row>
    <row r="70" spans="1:11" ht="12.75">
      <c r="A70" s="9" t="s">
        <v>42</v>
      </c>
      <c r="B70" s="9"/>
      <c r="C70" s="9"/>
      <c r="D70" s="9"/>
      <c r="E70" s="55">
        <v>60300</v>
      </c>
      <c r="F70" s="17" t="s">
        <v>47</v>
      </c>
      <c r="I70" s="1"/>
      <c r="J70" s="1"/>
      <c r="K70" s="1"/>
    </row>
    <row r="71" spans="1:11" ht="12.75">
      <c r="A71" s="9" t="s">
        <v>44</v>
      </c>
      <c r="B71" s="9"/>
      <c r="C71" s="9"/>
      <c r="D71" s="9"/>
      <c r="E71" s="55">
        <f>E70*0.8</f>
        <v>48240</v>
      </c>
      <c r="F71" t="s">
        <v>48</v>
      </c>
      <c r="I71" s="1"/>
      <c r="J71" s="1">
        <f>PMT(H52/12,I52*12,K52)*(-1)</f>
        <v>422.1435247600576</v>
      </c>
      <c r="K71" s="1">
        <f>J71*12</f>
        <v>5065.722297120691</v>
      </c>
    </row>
    <row r="72" spans="1:11" ht="12.75">
      <c r="A72" s="56">
        <v>1.2</v>
      </c>
      <c r="B72" s="9"/>
      <c r="C72" s="9"/>
      <c r="D72" s="9"/>
      <c r="E72" s="55">
        <f>E70*1.2</f>
        <v>72360</v>
      </c>
      <c r="I72" s="7" t="s">
        <v>49</v>
      </c>
      <c r="J72" s="8">
        <f>SUM(J68:J71)</f>
        <v>582.1435247600575</v>
      </c>
      <c r="K72" s="1">
        <f>J72*12</f>
        <v>6985.72229712069</v>
      </c>
    </row>
    <row r="73" spans="2:5" ht="12.75">
      <c r="B73" s="9"/>
      <c r="C73" s="9"/>
      <c r="D73" s="9"/>
      <c r="E73" s="9"/>
    </row>
    <row r="74" spans="2:5" ht="12.75">
      <c r="B74" s="9"/>
      <c r="C74" s="9"/>
      <c r="D74" s="9"/>
      <c r="E74" s="9"/>
    </row>
    <row r="75" spans="4:5" ht="12.75">
      <c r="D75"/>
      <c r="E75"/>
    </row>
    <row r="76" spans="4:5" ht="12.75">
      <c r="D76"/>
      <c r="E76"/>
    </row>
    <row r="77" spans="4:5" ht="12.75">
      <c r="D77"/>
      <c r="E77"/>
    </row>
    <row r="78" spans="4:5" ht="12.75">
      <c r="D78"/>
      <c r="E78"/>
    </row>
    <row r="79" spans="4:5" ht="12.75">
      <c r="D79"/>
      <c r="E79"/>
    </row>
    <row r="80" spans="4:5" ht="12.75">
      <c r="D80"/>
      <c r="E80"/>
    </row>
    <row r="81" spans="4:5" ht="12.75">
      <c r="D81"/>
      <c r="E81"/>
    </row>
    <row r="82" spans="4:5" ht="12.75">
      <c r="D82"/>
      <c r="E82"/>
    </row>
    <row r="83" spans="4:5" ht="12.75">
      <c r="D83"/>
      <c r="E83"/>
    </row>
    <row r="84" spans="4:5" ht="12.75">
      <c r="D84"/>
      <c r="E84"/>
    </row>
    <row r="85" spans="4:5" ht="12.75">
      <c r="D85"/>
      <c r="E85"/>
    </row>
    <row r="86" spans="4:5" ht="12.75">
      <c r="D86"/>
      <c r="E86"/>
    </row>
    <row r="87" spans="4:5" ht="12.75">
      <c r="D87"/>
      <c r="E87"/>
    </row>
    <row r="88" spans="4:5" ht="12.75">
      <c r="D88"/>
      <c r="E88"/>
    </row>
    <row r="89" spans="4:5" ht="12.75">
      <c r="D89"/>
      <c r="E89"/>
    </row>
    <row r="90" spans="4:5" ht="12.75">
      <c r="D90"/>
      <c r="E90"/>
    </row>
    <row r="91" spans="4:5" ht="12.75">
      <c r="D91"/>
      <c r="E91"/>
    </row>
    <row r="92" spans="4:5" ht="12.75">
      <c r="D92"/>
      <c r="E92"/>
    </row>
    <row r="93" spans="4:5" ht="12.75">
      <c r="D93"/>
      <c r="E93"/>
    </row>
    <row r="94" spans="4:5" ht="12.75">
      <c r="D94"/>
      <c r="E94"/>
    </row>
    <row r="95" spans="4:5" ht="12.75">
      <c r="D95"/>
      <c r="E95"/>
    </row>
    <row r="96" spans="4:5" ht="12.75">
      <c r="D96"/>
      <c r="E96"/>
    </row>
    <row r="97" spans="4:5" ht="12.75">
      <c r="D97"/>
      <c r="E97"/>
    </row>
    <row r="98" spans="4:5" ht="12.75">
      <c r="D98"/>
      <c r="E98"/>
    </row>
    <row r="99" spans="4:5" ht="12.75">
      <c r="D99"/>
      <c r="E99"/>
    </row>
    <row r="100" spans="4:5" ht="12.75">
      <c r="D100"/>
      <c r="E100"/>
    </row>
    <row r="101" spans="4:5" ht="12.75">
      <c r="D101"/>
      <c r="E101"/>
    </row>
    <row r="102" spans="4:5" ht="12.75">
      <c r="D102"/>
      <c r="E102"/>
    </row>
    <row r="103" spans="4:5" ht="12.75">
      <c r="D103"/>
      <c r="E103"/>
    </row>
    <row r="104" spans="4:5" ht="12.75">
      <c r="D104"/>
      <c r="E104"/>
    </row>
    <row r="105" spans="4:5" ht="12.75">
      <c r="D105"/>
      <c r="E105"/>
    </row>
    <row r="106" spans="4:5" ht="12.75">
      <c r="D106"/>
      <c r="E106"/>
    </row>
    <row r="107" spans="4:5" ht="12.75">
      <c r="D107"/>
      <c r="E107"/>
    </row>
    <row r="108" spans="4:5" ht="12.75">
      <c r="D108"/>
      <c r="E108"/>
    </row>
    <row r="109" spans="4:5" ht="12.75">
      <c r="D109"/>
      <c r="E109"/>
    </row>
    <row r="110" spans="4:5" ht="12.75">
      <c r="D110"/>
      <c r="E110"/>
    </row>
    <row r="111" spans="4:5" ht="12.75">
      <c r="D111"/>
      <c r="E111"/>
    </row>
    <row r="112" spans="4:5" ht="12.75">
      <c r="D112"/>
      <c r="E112"/>
    </row>
    <row r="113" spans="4:5" ht="12.75">
      <c r="D113"/>
      <c r="E113"/>
    </row>
    <row r="114" spans="4:5" ht="12.75">
      <c r="D114"/>
      <c r="E114"/>
    </row>
    <row r="115" spans="4:5" ht="12.75">
      <c r="D115"/>
      <c r="E115"/>
    </row>
    <row r="116" spans="4:5" ht="12.75">
      <c r="D116"/>
      <c r="E116"/>
    </row>
    <row r="117" spans="4:5" ht="12.75">
      <c r="D117"/>
      <c r="E117"/>
    </row>
    <row r="118" spans="4:5" ht="12.75">
      <c r="D118"/>
      <c r="E118"/>
    </row>
    <row r="119" spans="4:5" ht="12.75">
      <c r="D119"/>
      <c r="E119"/>
    </row>
    <row r="120" spans="4:5" ht="12.75">
      <c r="D120"/>
      <c r="E120"/>
    </row>
    <row r="121" spans="4:5" ht="12.75">
      <c r="D121"/>
      <c r="E121"/>
    </row>
    <row r="122" spans="4:5" ht="12.75">
      <c r="D122"/>
      <c r="E122"/>
    </row>
    <row r="123" spans="4:5" ht="12.75">
      <c r="D123"/>
      <c r="E123"/>
    </row>
    <row r="124" spans="4:5" ht="12.75">
      <c r="D124"/>
      <c r="E124"/>
    </row>
    <row r="125" spans="4:5" ht="12.75">
      <c r="D125"/>
      <c r="E125"/>
    </row>
    <row r="126" spans="4:5" ht="12.75">
      <c r="D126"/>
      <c r="E126"/>
    </row>
    <row r="127" spans="4:5" ht="12.75">
      <c r="D127"/>
      <c r="E127"/>
    </row>
    <row r="128" spans="4:5" ht="12.75">
      <c r="D128"/>
      <c r="E128"/>
    </row>
    <row r="129" spans="4:5" ht="12.75">
      <c r="D129"/>
      <c r="E129"/>
    </row>
    <row r="130" spans="4:5" ht="12.75">
      <c r="D130"/>
      <c r="E130"/>
    </row>
    <row r="131" spans="4:5" ht="12.75">
      <c r="D131"/>
      <c r="E131"/>
    </row>
    <row r="132" spans="4:5" ht="12.75">
      <c r="D132"/>
      <c r="E132"/>
    </row>
    <row r="133" spans="4:5" ht="12.75">
      <c r="D133"/>
      <c r="E133"/>
    </row>
    <row r="134" spans="4:5" ht="12.75">
      <c r="D134"/>
      <c r="E134"/>
    </row>
    <row r="135" spans="4:5" ht="12.75">
      <c r="D135"/>
      <c r="E135"/>
    </row>
    <row r="136" spans="4:5" ht="12.75">
      <c r="D136"/>
      <c r="E136"/>
    </row>
    <row r="137" spans="4:5" ht="12.75">
      <c r="D137"/>
      <c r="E137"/>
    </row>
    <row r="138" spans="4:5" ht="12.75">
      <c r="D138"/>
      <c r="E138"/>
    </row>
    <row r="139" spans="4:5" ht="12.75">
      <c r="D139"/>
      <c r="E139"/>
    </row>
    <row r="140" spans="4:5" ht="12.75">
      <c r="D140"/>
      <c r="E140"/>
    </row>
    <row r="141" spans="4:5" ht="12.75">
      <c r="D141"/>
      <c r="E141"/>
    </row>
    <row r="142" spans="4:5" ht="12.75">
      <c r="D142"/>
      <c r="E142"/>
    </row>
    <row r="143" spans="4:5" ht="12.75">
      <c r="D143"/>
      <c r="E143"/>
    </row>
    <row r="144" spans="4:5" ht="12.75">
      <c r="D144"/>
      <c r="E144"/>
    </row>
    <row r="145" spans="4:5" ht="12.75">
      <c r="D145"/>
      <c r="E145"/>
    </row>
    <row r="146" spans="4:5" ht="12.75">
      <c r="D146"/>
      <c r="E146"/>
    </row>
    <row r="147" spans="4:5" ht="12.75">
      <c r="D147"/>
      <c r="E147"/>
    </row>
    <row r="148" spans="4:5" ht="12.75">
      <c r="D148"/>
      <c r="E148"/>
    </row>
    <row r="149" spans="4:5" ht="12.75">
      <c r="D149"/>
      <c r="E149"/>
    </row>
    <row r="150" spans="4:5" ht="12.75">
      <c r="D150"/>
      <c r="E150"/>
    </row>
    <row r="151" spans="4:5" ht="12.75">
      <c r="D151"/>
      <c r="E151"/>
    </row>
    <row r="152" spans="4:5" ht="12.75">
      <c r="D152"/>
      <c r="E152"/>
    </row>
    <row r="153" spans="4:5" ht="12.75">
      <c r="D153"/>
      <c r="E153"/>
    </row>
    <row r="154" spans="4:5" ht="12.75">
      <c r="D154"/>
      <c r="E154"/>
    </row>
    <row r="155" spans="4:5" ht="12.75">
      <c r="D155"/>
      <c r="E155"/>
    </row>
    <row r="156" ht="12.75">
      <c r="D156"/>
    </row>
    <row r="157" spans="4:5" ht="12.75">
      <c r="D157"/>
      <c r="E157" s="15"/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Housing Impact Strategies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Cramer</dc:creator>
  <cp:keywords/>
  <dc:description/>
  <cp:lastModifiedBy>david cramer</cp:lastModifiedBy>
  <cp:lastPrinted>2009-10-23T12:47:34Z</cp:lastPrinted>
  <dcterms:created xsi:type="dcterms:W3CDTF">1997-10-16T22:55:17Z</dcterms:created>
  <dcterms:modified xsi:type="dcterms:W3CDTF">2009-11-04T15:16:34Z</dcterms:modified>
  <cp:category/>
  <cp:version/>
  <cp:contentType/>
  <cp:contentStatus/>
</cp:coreProperties>
</file>